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7.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updateLinks="always"/>
  <mc:AlternateContent xmlns:mc="http://schemas.openxmlformats.org/markup-compatibility/2006">
    <mc:Choice Requires="x15">
      <x15ac:absPath xmlns:x15ac="http://schemas.microsoft.com/office/spreadsheetml/2010/11/ac" url="X:\UPRA\Contratacion 2022\LP y PA\Cadena maiz\PA\Plan accion\20220513\Subidos pg web\"/>
    </mc:Choice>
  </mc:AlternateContent>
  <bookViews>
    <workbookView xWindow="1200" yWindow="495" windowWidth="27600" windowHeight="16845"/>
  </bookViews>
  <sheets>
    <sheet name="Instructivo" sheetId="1" r:id="rId1"/>
    <sheet name="Directrices  Generales " sheetId="2" r:id="rId2"/>
    <sheet name="Categoria Costos Def" sheetId="30" r:id="rId3"/>
    <sheet name="Estimación anualizada " sheetId="21" r:id="rId4"/>
    <sheet name="Estimación por período" sheetId="14" r:id="rId5"/>
    <sheet name="Fuentes" sheetId="28" r:id="rId6"/>
    <sheet name="P1" sheetId="5" r:id="rId7"/>
    <sheet name="P2" sheetId="22" r:id="rId8"/>
    <sheet name="P3" sheetId="23" r:id="rId9"/>
    <sheet name="P4" sheetId="24" r:id="rId10"/>
    <sheet name="P5" sheetId="25" r:id="rId11"/>
    <sheet name="P6" sheetId="8" r:id="rId12"/>
    <sheet name="P7" sheetId="9" r:id="rId13"/>
    <sheet name="P8" sheetId="27" r:id="rId14"/>
    <sheet name="P9" sheetId="20" r:id="rId15"/>
    <sheet name="PPP_V3_y Costos" sheetId="2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#N/A</definedName>
    <definedName name="\b">#N/A</definedName>
    <definedName name="_____hhh444" localSheetId="2">#REF!</definedName>
    <definedName name="_____hhh444" localSheetId="1">#REF!</definedName>
    <definedName name="_____hhh444" localSheetId="6">#REF!</definedName>
    <definedName name="_____hhh444" localSheetId="7">#REF!</definedName>
    <definedName name="_____hhh444" localSheetId="9">#REF!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#REF!</definedName>
    <definedName name="___hhh444" localSheetId="2">#REF!</definedName>
    <definedName name="___hhh444" localSheetId="1">#REF!</definedName>
    <definedName name="___hhh444" localSheetId="15">#REF!</definedName>
    <definedName name="___hhh444">#REF!</definedName>
    <definedName name="_xlnm._FilterDatabase" localSheetId="15" hidden="1">'PPP_V3_y Costos'!$A$1:$D$26</definedName>
    <definedName name="_ftnref3" localSheetId="15">'PPP_V3_y Costos'!#REF!</definedName>
    <definedName name="_ftnref4" localSheetId="15">'PPP_V3_y Costos'!#REF!</definedName>
    <definedName name="_ftnref5" localSheetId="15">'PPP_V3_y Costos'!#REF!</definedName>
    <definedName name="_hhh444" localSheetId="2">#REF!</definedName>
    <definedName name="_hhh444" localSheetId="1">#REF!</definedName>
    <definedName name="_hhh444" localSheetId="9">#REF!</definedName>
    <definedName name="_hhh444" localSheetId="10">#REF!</definedName>
    <definedName name="_hhh444" localSheetId="13">#REF!</definedName>
    <definedName name="_hhh444" localSheetId="14">#REF!</definedName>
    <definedName name="_hhh444" localSheetId="15">#REF!</definedName>
    <definedName name="_hhh444">#REF!</definedName>
    <definedName name="A_impresión_IM" localSheetId="2">#REF!</definedName>
    <definedName name="A_impresión_IM" localSheetId="15">#REF!</definedName>
    <definedName name="A_impresión_IM">#REF!</definedName>
    <definedName name="aaa" localSheetId="2">#REF!</definedName>
    <definedName name="aaa" localSheetId="15">#REF!</definedName>
    <definedName name="aaa">#REF!</definedName>
    <definedName name="abuela" localSheetId="2">#REF!</definedName>
    <definedName name="abuela" localSheetId="15">#REF!</definedName>
    <definedName name="abuela">#REF!</definedName>
    <definedName name="africa" localSheetId="2">#REF!</definedName>
    <definedName name="africa">#REF!</definedName>
    <definedName name="aleman" localSheetId="2">#REF!</definedName>
    <definedName name="aleman">#REF!</definedName>
    <definedName name="ALO" localSheetId="2">#REF!</definedName>
    <definedName name="ALO">#REF!</definedName>
    <definedName name="AREA_COSECHADA" localSheetId="2">#REF!</definedName>
    <definedName name="AREA_COSECHADA">#REF!</definedName>
    <definedName name="_xlnm.Print_Area" localSheetId="2">#REF!</definedName>
    <definedName name="_xlnm.Print_Area">#REF!</definedName>
    <definedName name="AREA_SEMBRADA" localSheetId="2">#REF!</definedName>
    <definedName name="AREA_SEMBRADA">#REF!</definedName>
    <definedName name="asia" localSheetId="2">#REF!</definedName>
    <definedName name="asia">#REF!</definedName>
    <definedName name="astringente" localSheetId="2">#REF!</definedName>
    <definedName name="astringente">#REF!</definedName>
    <definedName name="autralia" localSheetId="2">#REF!</definedName>
    <definedName name="autralia">#REF!</definedName>
    <definedName name="bobada" localSheetId="2">#REF!</definedName>
    <definedName name="bobada">#REF!</definedName>
    <definedName name="cambio" localSheetId="2">#REF!</definedName>
    <definedName name="cambio">#REF!</definedName>
    <definedName name="cccc">#N/A</definedName>
    <definedName name="centro" localSheetId="2">#REF!</definedName>
    <definedName name="centro" localSheetId="1">#REF!</definedName>
    <definedName name="centro" localSheetId="6">#REF!</definedName>
    <definedName name="centro" localSheetId="7">#REF!</definedName>
    <definedName name="centro" localSheetId="9">#REF!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#REF!</definedName>
    <definedName name="contestar" localSheetId="2">#REF!</definedName>
    <definedName name="contestar" localSheetId="1">#REF!</definedName>
    <definedName name="contestar" localSheetId="15">#REF!</definedName>
    <definedName name="contestar">#REF!</definedName>
    <definedName name="cuadro2a" localSheetId="2">#REF!</definedName>
    <definedName name="cuadro2a" localSheetId="1">#REF!</definedName>
    <definedName name="cuadro2a" localSheetId="15">#REF!</definedName>
    <definedName name="cuadro2a">#REF!</definedName>
    <definedName name="CULTIVOS">[1]Hoja1!$AK$1:$AK$99</definedName>
    <definedName name="d" localSheetId="2">#REF!</definedName>
    <definedName name="d" localSheetId="6">#REF!</definedName>
    <definedName name="d" localSheetId="7">#REF!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#REF!</definedName>
    <definedName name="desconocido" localSheetId="2">#REF!</definedName>
    <definedName name="desconocido" localSheetId="1">#REF!</definedName>
    <definedName name="desconocido" localSheetId="15">#REF!</definedName>
    <definedName name="desconocido">#REF!</definedName>
    <definedName name="Desespero" localSheetId="2">#REF!</definedName>
    <definedName name="Desespero" localSheetId="1">#REF!</definedName>
    <definedName name="Desespero" localSheetId="15">#REF!</definedName>
    <definedName name="Desespero">#REF!</definedName>
    <definedName name="DME_Dirty" hidden="1">"False"</definedName>
    <definedName name="DME_LocalFile" hidden="1">"True"</definedName>
    <definedName name="Extraordinario" localSheetId="2">#REF!</definedName>
    <definedName name="Extraordinario" localSheetId="1">#REF!</definedName>
    <definedName name="Extraordinario" localSheetId="6">#REF!</definedName>
    <definedName name="Extraordinario" localSheetId="7">#REF!</definedName>
    <definedName name="Extraordinario" localSheetId="9">#REF!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#REF!</definedName>
    <definedName name="FECHA" localSheetId="2">#REF!</definedName>
    <definedName name="FECHA" localSheetId="1">#REF!</definedName>
    <definedName name="FECHA" localSheetId="15">#REF!</definedName>
    <definedName name="FECHA">#REF!</definedName>
    <definedName name="ffffddddd" localSheetId="2">#REF!</definedName>
    <definedName name="ffffddddd" localSheetId="1">#REF!</definedName>
    <definedName name="ffffddddd" localSheetId="15">#REF!</definedName>
    <definedName name="ffffddddd">#REF!</definedName>
    <definedName name="fffsd" localSheetId="2">#REF!</definedName>
    <definedName name="fffsd">#REF!</definedName>
    <definedName name="fgfgfg" localSheetId="2">#REF!</definedName>
    <definedName name="fgfgfg">#REF!</definedName>
    <definedName name="fhfhfhfjjj" localSheetId="2">#REF!</definedName>
    <definedName name="fhfhfhfjjj">#REF!</definedName>
    <definedName name="ggg" localSheetId="2">#REF!</definedName>
    <definedName name="ggg">#REF!</definedName>
    <definedName name="ggggg" localSheetId="2">#REF!</definedName>
    <definedName name="ggggg">#REF!</definedName>
    <definedName name="gggggg" localSheetId="2">#REF!</definedName>
    <definedName name="gggggg">#REF!</definedName>
    <definedName name="gggggg5" localSheetId="2">#REF!</definedName>
    <definedName name="gggggg5">#REF!</definedName>
    <definedName name="global" localSheetId="2">#REF!</definedName>
    <definedName name="global">#REF!</definedName>
    <definedName name="hfhfhfhfhf" localSheetId="2">#REF!</definedName>
    <definedName name="hfhfhfhfhf">#REF!</definedName>
    <definedName name="hhh" localSheetId="2">#REF!</definedName>
    <definedName name="hhh">#REF!</definedName>
    <definedName name="hijo" localSheetId="2">#REF!</definedName>
    <definedName name="hijo">#REF!</definedName>
    <definedName name="hoas" localSheetId="2">#REF!</definedName>
    <definedName name="hoas">#REF!</definedName>
    <definedName name="hoja" localSheetId="2">#REF!</definedName>
    <definedName name="hoja">#REF!</definedName>
    <definedName name="idea" localSheetId="2">#REF!</definedName>
    <definedName name="idea">#REF!</definedName>
    <definedName name="Increible" localSheetId="2">#REF!</definedName>
    <definedName name="Increible">#REF!</definedName>
    <definedName name="jjjjjjjjkkkk" localSheetId="2">#REF!</definedName>
    <definedName name="jjjjjjjjkkkk">#REF!</definedName>
    <definedName name="jjjkkkk" localSheetId="2">#REF!</definedName>
    <definedName name="jjjkkkk">#REF!</definedName>
    <definedName name="joder" localSheetId="2">#REF!</definedName>
    <definedName name="joder">#REF!</definedName>
    <definedName name="kkkkkkk" localSheetId="2">#REF!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2">#REF!</definedName>
    <definedName name="Mamada" localSheetId="1">#REF!</definedName>
    <definedName name="Mamada" localSheetId="6">#REF!</definedName>
    <definedName name="Mamada" localSheetId="7">#REF!</definedName>
    <definedName name="Mamada" localSheetId="9">#REF!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#REF!</definedName>
    <definedName name="manera" localSheetId="2">#REF!</definedName>
    <definedName name="manera" localSheetId="1">#REF!</definedName>
    <definedName name="manera" localSheetId="15">#REF!</definedName>
    <definedName name="manera">#REF!</definedName>
    <definedName name="marina" localSheetId="2">#REF!</definedName>
    <definedName name="marina" localSheetId="1">#REF!</definedName>
    <definedName name="marina" localSheetId="15">#REF!</definedName>
    <definedName name="marina">#REF!</definedName>
    <definedName name="marta" localSheetId="2">#REF!</definedName>
    <definedName name="marta">#REF!</definedName>
    <definedName name="mundo" localSheetId="2">#REF!</definedName>
    <definedName name="mundo">#REF!</definedName>
    <definedName name="Nada" localSheetId="2">#REF!</definedName>
    <definedName name="Nada">#REF!</definedName>
    <definedName name="Naturaleza1" localSheetId="2">#REF!</definedName>
    <definedName name="Naturaleza1">#REF!</definedName>
    <definedName name="necesito" localSheetId="2">#REF!</definedName>
    <definedName name="necesito">#REF!</definedName>
    <definedName name="ninguna" localSheetId="2">#REF!</definedName>
    <definedName name="ninguna">#REF!</definedName>
    <definedName name="Noto" localSheetId="2">#REF!</definedName>
    <definedName name="Noto">#REF!</definedName>
    <definedName name="Notorio" localSheetId="2">#REF!</definedName>
    <definedName name="Notorio">#REF!</definedName>
    <definedName name="otro" localSheetId="2">#REF!</definedName>
    <definedName name="otro">#REF!</definedName>
    <definedName name="paises" localSheetId="2">[6]COD!$A$1:$B$275</definedName>
    <definedName name="paises">[7]COD!$A$1:$B$275</definedName>
    <definedName name="pasara" localSheetId="2">#REF!</definedName>
    <definedName name="pasara" localSheetId="1">#REF!</definedName>
    <definedName name="pasara" localSheetId="6">#REF!</definedName>
    <definedName name="pasara" localSheetId="7">#REF!</definedName>
    <definedName name="pasara" localSheetId="9">#REF!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#REF!</definedName>
    <definedName name="pastor" localSheetId="2">#REF!</definedName>
    <definedName name="pastor" localSheetId="1">#REF!</definedName>
    <definedName name="pastor" localSheetId="15">#REF!</definedName>
    <definedName name="pastor">#REF!</definedName>
    <definedName name="pensando" localSheetId="2">#REF!</definedName>
    <definedName name="pensando" localSheetId="1">#REF!</definedName>
    <definedName name="pensando" localSheetId="15">#REF!</definedName>
    <definedName name="pensando">#REF!</definedName>
    <definedName name="PERIODO" localSheetId="2">#REF!</definedName>
    <definedName name="PERIODO">#REF!</definedName>
    <definedName name="piso" localSheetId="2">#REF!</definedName>
    <definedName name="piso">#REF!</definedName>
    <definedName name="PRODUCCION" localSheetId="2">#REF!</definedName>
    <definedName name="PRODUCCION" localSheetId="15">#REF!</definedName>
    <definedName name="PRODUCCION">#REF!</definedName>
    <definedName name="PROGRAMAS" localSheetId="2">'[8]SECTORES,PROGRAMAS Y SUBPROGRAM'!$C$4:$D$166</definedName>
    <definedName name="PROGRAMAS">'[9]SECTORES,PROGRAMAS Y SUBPROGRAM'!$C$4:$D$171</definedName>
    <definedName name="puntilla" localSheetId="2">#REF!</definedName>
    <definedName name="puntilla" localSheetId="6">#REF!</definedName>
    <definedName name="puntilla" localSheetId="7">#REF!</definedName>
    <definedName name="puntilla" localSheetId="9">#REF!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#REF!</definedName>
    <definedName name="quizas" localSheetId="2">#REF!</definedName>
    <definedName name="quizas" localSheetId="15">#REF!</definedName>
    <definedName name="quizas">#REF!</definedName>
    <definedName name="Rama1" localSheetId="2">#REF!</definedName>
    <definedName name="Rama1" localSheetId="15">#REF!</definedName>
    <definedName name="Rama1">#REF!</definedName>
    <definedName name="RangoCriterio2">[10]Detalle!$K:$K</definedName>
    <definedName name="RangoValor">[10]Detalle!$I:$I</definedName>
    <definedName name="RENDIMIENTO" localSheetId="2">#REF!</definedName>
    <definedName name="RENDIMIENTO" localSheetId="1">#REF!</definedName>
    <definedName name="RENDIMIENTO" localSheetId="6">#REF!</definedName>
    <definedName name="RENDIMIENTO" localSheetId="7">#REF!</definedName>
    <definedName name="RENDIMIENTO" localSheetId="9">#REF!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#REF!</definedName>
    <definedName name="Ruta_Critica_1" localSheetId="2">#REF!</definedName>
    <definedName name="Ruta_Critica_1" localSheetId="15">#REF!</definedName>
    <definedName name="Ruta_Critica_1">#REF!</definedName>
    <definedName name="santa" localSheetId="2">#REF!</definedName>
    <definedName name="santa" localSheetId="1">#REF!</definedName>
    <definedName name="santa" localSheetId="15">#REF!</definedName>
    <definedName name="santa">#REF!</definedName>
    <definedName name="secores">'[11]Sectores y Programas'!$H$5:$I$34</definedName>
    <definedName name="Sector1">[12]Cuentas_Corrientes!$A$133:$I$133</definedName>
    <definedName name="Sector3" localSheetId="2">#REF!</definedName>
    <definedName name="Sector3" localSheetId="1">#REF!</definedName>
    <definedName name="Sector3" localSheetId="6">#REF!</definedName>
    <definedName name="Sector3" localSheetId="7">#REF!</definedName>
    <definedName name="Sector3" localSheetId="9">#REF!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#REF!</definedName>
    <definedName name="Sector4" localSheetId="2">#REF!</definedName>
    <definedName name="Sector4" localSheetId="1">#REF!</definedName>
    <definedName name="Sector4" localSheetId="15">#REF!</definedName>
    <definedName name="Sector4">#REF!</definedName>
    <definedName name="SECTORES">[9]!SECTOR[[#All],[Codigo ]:[Nombre ]]</definedName>
    <definedName name="septico" localSheetId="2">#REF!</definedName>
    <definedName name="septico" localSheetId="1">#REF!</definedName>
    <definedName name="septico" localSheetId="6">#REF!</definedName>
    <definedName name="septico" localSheetId="7">#REF!</definedName>
    <definedName name="septico" localSheetId="9">#REF!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#REF!</definedName>
    <definedName name="suerte" localSheetId="2">#REF!</definedName>
    <definedName name="suerte" localSheetId="15">#REF!</definedName>
    <definedName name="suerte">#REF!</definedName>
    <definedName name="Tabla_asignación" localSheetId="2">#REF!</definedName>
    <definedName name="Tabla_asignación" localSheetId="15">#REF!</definedName>
    <definedName name="Tabla_asignación">#REF!</definedName>
    <definedName name="Tabla_Recursos" localSheetId="2">#REF!</definedName>
    <definedName name="Tabla_Recursos">#REF!</definedName>
    <definedName name="tendre" localSheetId="2">#REF!</definedName>
    <definedName name="tendre">#REF!</definedName>
    <definedName name="tener" localSheetId="2">#REF!</definedName>
    <definedName name="tener">#REF!</definedName>
    <definedName name="tierra" localSheetId="2">#REF!</definedName>
    <definedName name="tierra">#REF!</definedName>
    <definedName name="TIR" localSheetId="2">#REF!</definedName>
    <definedName name="TIR">#REF!</definedName>
    <definedName name="TITULO" localSheetId="2">#REF!</definedName>
    <definedName name="TITULO">#REF!</definedName>
    <definedName name="_xlnm.Print_Titles" localSheetId="2">#REF!,#REF!</definedName>
    <definedName name="_xlnm.Print_Titles" localSheetId="1">#REF!,#REF!</definedName>
    <definedName name="_xlnm.Print_Titles" localSheetId="6">#REF!,#REF!</definedName>
    <definedName name="_xlnm.Print_Titles" localSheetId="7">#REF!,#REF!</definedName>
    <definedName name="_xlnm.Print_Titles" localSheetId="9">#REF!,#REF!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#REF!,#REF!</definedName>
    <definedName name="Ton">[13]Parámetros!$B$4</definedName>
    <definedName name="Totaldepto" localSheetId="2">#REF!</definedName>
    <definedName name="Totaldepto" localSheetId="1">#REF!</definedName>
    <definedName name="Totaldepto" localSheetId="6">#REF!</definedName>
    <definedName name="Totaldepto" localSheetId="7">#REF!</definedName>
    <definedName name="Totaldepto" localSheetId="9">#REF!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#REF!</definedName>
    <definedName name="Transaccion1" localSheetId="2">#REF!</definedName>
    <definedName name="Transaccion1" localSheetId="1">#REF!</definedName>
    <definedName name="Transaccion1" localSheetId="15">#REF!</definedName>
    <definedName name="Transaccion1">#REF!</definedName>
    <definedName name="Valoracion1" localSheetId="2">#REF!</definedName>
    <definedName name="Valoracion1" localSheetId="1">#REF!</definedName>
    <definedName name="Valoracion1" localSheetId="15">#REF!</definedName>
    <definedName name="Valoracion1">#REF!</definedName>
    <definedName name="vives" localSheetId="2">#REF!</definedName>
    <definedName name="viv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28" l="1"/>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6" i="28"/>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7" i="14"/>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D669" i="30"/>
  <c r="D668" i="30"/>
  <c r="B636" i="30"/>
  <c r="B637" i="30" s="1"/>
  <c r="C635" i="30"/>
  <c r="D635" i="30" s="1"/>
  <c r="E635" i="30" s="1"/>
  <c r="B635" i="30"/>
  <c r="C634" i="30"/>
  <c r="D634" i="30" s="1"/>
  <c r="E634" i="30" s="1"/>
  <c r="B634" i="30"/>
  <c r="D633" i="30"/>
  <c r="E633" i="30" s="1"/>
  <c r="C633" i="30"/>
  <c r="C625" i="30"/>
  <c r="C624" i="30"/>
  <c r="C623" i="30"/>
  <c r="C622" i="30"/>
  <c r="C626" i="30" s="1"/>
  <c r="C627" i="30" s="1"/>
  <c r="C611" i="30"/>
  <c r="C608" i="30"/>
  <c r="D602" i="30"/>
  <c r="F602" i="30" s="1"/>
  <c r="H602" i="30" s="1"/>
  <c r="D601" i="30"/>
  <c r="F601" i="30" s="1"/>
  <c r="H601" i="30" s="1"/>
  <c r="D600" i="30"/>
  <c r="F600" i="30" s="1"/>
  <c r="H600" i="30" s="1"/>
  <c r="C594" i="30"/>
  <c r="D589" i="30"/>
  <c r="F589" i="30" s="1"/>
  <c r="H589" i="30" s="1"/>
  <c r="D587" i="30"/>
  <c r="F587" i="30" s="1"/>
  <c r="H587" i="30" s="1"/>
  <c r="C585" i="30"/>
  <c r="C658" i="30" s="1"/>
  <c r="F582" i="30"/>
  <c r="K573" i="30" s="1"/>
  <c r="L573" i="30" s="1"/>
  <c r="M573" i="30" s="1"/>
  <c r="E582" i="30"/>
  <c r="K572" i="30" s="1"/>
  <c r="L572" i="30" s="1"/>
  <c r="M572" i="30" s="1"/>
  <c r="D582" i="30"/>
  <c r="C582" i="30"/>
  <c r="I573" i="30"/>
  <c r="J573" i="30" s="1"/>
  <c r="J572" i="30"/>
  <c r="I572" i="30"/>
  <c r="O571" i="30"/>
  <c r="K571" i="30"/>
  <c r="L571" i="30" s="1"/>
  <c r="M571" i="30" s="1"/>
  <c r="J571" i="30"/>
  <c r="I571" i="30"/>
  <c r="O570" i="30"/>
  <c r="K570" i="30"/>
  <c r="L570" i="30" s="1"/>
  <c r="M570" i="30" s="1"/>
  <c r="I570" i="30"/>
  <c r="J570" i="30" s="1"/>
  <c r="N569" i="30"/>
  <c r="O572" i="30" s="1"/>
  <c r="C566" i="30"/>
  <c r="C559" i="30"/>
  <c r="C552" i="30"/>
  <c r="D541" i="30"/>
  <c r="C535" i="30"/>
  <c r="E535" i="30" s="1"/>
  <c r="C537" i="30" s="1"/>
  <c r="D531" i="30"/>
  <c r="F531" i="30" s="1"/>
  <c r="H531" i="30" s="1"/>
  <c r="D530" i="30"/>
  <c r="F530" i="30" s="1"/>
  <c r="H530" i="30" s="1"/>
  <c r="D529" i="30"/>
  <c r="F529" i="30" s="1"/>
  <c r="H529" i="30" s="1"/>
  <c r="C522" i="30"/>
  <c r="C516" i="30"/>
  <c r="C517" i="30" s="1"/>
  <c r="C519" i="30" s="1"/>
  <c r="C505" i="30"/>
  <c r="C504" i="30"/>
  <c r="C506" i="30" s="1"/>
  <c r="C488" i="30"/>
  <c r="C486" i="30"/>
  <c r="C466" i="30"/>
  <c r="D455" i="30"/>
  <c r="D453" i="30"/>
  <c r="D451" i="30"/>
  <c r="D450" i="30"/>
  <c r="C441" i="30"/>
  <c r="C440" i="30"/>
  <c r="C435" i="30"/>
  <c r="C434" i="30"/>
  <c r="C433" i="30"/>
  <c r="C436" i="30" s="1"/>
  <c r="C406" i="30" s="1"/>
  <c r="C429" i="30"/>
  <c r="C417" i="30"/>
  <c r="C416" i="30"/>
  <c r="C421" i="30" s="1"/>
  <c r="C404" i="30" s="1"/>
  <c r="C414" i="30"/>
  <c r="C412" i="30"/>
  <c r="C407" i="30"/>
  <c r="B407" i="30"/>
  <c r="B406" i="30"/>
  <c r="C405" i="30"/>
  <c r="B405" i="30"/>
  <c r="B404" i="30"/>
  <c r="E399" i="30"/>
  <c r="E391" i="30"/>
  <c r="E385" i="30"/>
  <c r="E372" i="30"/>
  <c r="E369" i="30"/>
  <c r="E367" i="30"/>
  <c r="E366" i="30"/>
  <c r="E360" i="30"/>
  <c r="D359" i="30"/>
  <c r="E359" i="30" s="1"/>
  <c r="D358" i="30"/>
  <c r="E358" i="30" s="1"/>
  <c r="E355" i="30"/>
  <c r="E354" i="30"/>
  <c r="D347" i="30"/>
  <c r="E347" i="30" s="1"/>
  <c r="E346" i="30"/>
  <c r="E344" i="30"/>
  <c r="E343" i="30"/>
  <c r="D338" i="30"/>
  <c r="E338" i="30" s="1"/>
  <c r="E337" i="30"/>
  <c r="D336" i="30"/>
  <c r="E336" i="30" s="1"/>
  <c r="E334" i="30"/>
  <c r="D333" i="30"/>
  <c r="E333" i="30" s="1"/>
  <c r="C315" i="30"/>
  <c r="C307" i="30"/>
  <c r="C286" i="30" s="1"/>
  <c r="B299" i="30"/>
  <c r="B298" i="30"/>
  <c r="C297" i="30"/>
  <c r="C296" i="30"/>
  <c r="C292" i="30"/>
  <c r="C291" i="30"/>
  <c r="D370" i="30" s="1"/>
  <c r="E370" i="30" s="1"/>
  <c r="C289" i="30"/>
  <c r="D371" i="30" s="1"/>
  <c r="E371" i="30" s="1"/>
  <c r="C288" i="30"/>
  <c r="C287" i="30"/>
  <c r="D345" i="30" s="1"/>
  <c r="E345" i="30" s="1"/>
  <c r="D281" i="30"/>
  <c r="C281" i="30"/>
  <c r="C489" i="30" s="1"/>
  <c r="C271" i="30"/>
  <c r="C269" i="30"/>
  <c r="C268" i="30"/>
  <c r="C267" i="30"/>
  <c r="C274" i="30" s="1"/>
  <c r="C263" i="30"/>
  <c r="C262" i="30"/>
  <c r="C261" i="30"/>
  <c r="C260" i="30"/>
  <c r="C259" i="30"/>
  <c r="C264" i="30" s="1"/>
  <c r="C219" i="30" s="1"/>
  <c r="C253" i="30"/>
  <c r="C250" i="30"/>
  <c r="C249" i="30"/>
  <c r="C248" i="30"/>
  <c r="C244" i="30"/>
  <c r="C236" i="30"/>
  <c r="C235" i="30"/>
  <c r="C238" i="30" s="1"/>
  <c r="C217" i="30" s="1"/>
  <c r="C221" i="30" s="1"/>
  <c r="C234" i="30"/>
  <c r="C227" i="30"/>
  <c r="C229" i="30" s="1"/>
  <c r="C216" i="30" s="1"/>
  <c r="C220" i="30" s="1"/>
  <c r="C222" i="30"/>
  <c r="B219" i="30"/>
  <c r="B218" i="30"/>
  <c r="B217" i="30"/>
  <c r="C212" i="30"/>
  <c r="C174" i="30"/>
  <c r="C123" i="30"/>
  <c r="C251" i="30" s="1"/>
  <c r="C254" i="30" s="1"/>
  <c r="C218" i="30" s="1"/>
  <c r="C119" i="30"/>
  <c r="C107" i="30"/>
  <c r="C112" i="30" s="1"/>
  <c r="C106" i="30"/>
  <c r="D102" i="30"/>
  <c r="C113" i="30" s="1"/>
  <c r="D101" i="30"/>
  <c r="D100" i="30"/>
  <c r="D99" i="30"/>
  <c r="C91" i="30"/>
  <c r="E65" i="30"/>
  <c r="E64" i="30"/>
  <c r="E63" i="30"/>
  <c r="E62" i="30"/>
  <c r="E61" i="30"/>
  <c r="E60" i="30"/>
  <c r="E59" i="30"/>
  <c r="E58" i="30"/>
  <c r="E57" i="30"/>
  <c r="E56" i="30"/>
  <c r="E55" i="30"/>
  <c r="E54" i="30"/>
  <c r="E53" i="30"/>
  <c r="E52" i="30"/>
  <c r="E51" i="30"/>
  <c r="E50" i="30"/>
  <c r="E49" i="30"/>
  <c r="E48" i="30"/>
  <c r="E47" i="30"/>
  <c r="E46" i="30"/>
  <c r="E45" i="30"/>
  <c r="E44" i="30"/>
  <c r="E43" i="30"/>
  <c r="E42" i="30"/>
  <c r="B13" i="20"/>
  <c r="B12" i="20"/>
  <c r="B11" i="20"/>
  <c r="B10" i="20"/>
  <c r="B9" i="20"/>
  <c r="B8" i="20"/>
  <c r="B4" i="20"/>
  <c r="B9" i="27"/>
  <c r="B4" i="27"/>
  <c r="B8" i="27"/>
  <c r="B9" i="9"/>
  <c r="B8" i="9"/>
  <c r="B4" i="9"/>
  <c r="B12" i="8"/>
  <c r="B11" i="8"/>
  <c r="B10" i="8"/>
  <c r="B9" i="8"/>
  <c r="B8" i="8"/>
  <c r="B4" i="8"/>
  <c r="B8" i="25"/>
  <c r="B4" i="25"/>
  <c r="B9" i="24"/>
  <c r="B8" i="24"/>
  <c r="B4" i="24"/>
  <c r="B12" i="23"/>
  <c r="B11" i="23"/>
  <c r="B10" i="23"/>
  <c r="B9" i="23"/>
  <c r="B8" i="23"/>
  <c r="B4" i="23"/>
  <c r="B9" i="22"/>
  <c r="B8" i="22"/>
  <c r="B4" i="22"/>
  <c r="B9" i="5"/>
  <c r="B8" i="5"/>
  <c r="B4" i="5"/>
  <c r="D356" i="30" l="1"/>
  <c r="E356" i="30" s="1"/>
  <c r="E361" i="30" s="1"/>
  <c r="C295" i="30" s="1"/>
  <c r="D335" i="30"/>
  <c r="C523" i="30"/>
  <c r="D660" i="30"/>
  <c r="F660" i="30" s="1"/>
  <c r="H660" i="30" s="1"/>
  <c r="D662" i="30"/>
  <c r="F662" i="30" s="1"/>
  <c r="H662" i="30" s="1"/>
  <c r="D661" i="30"/>
  <c r="F661" i="30" s="1"/>
  <c r="H661" i="30" s="1"/>
  <c r="F634" i="30"/>
  <c r="G634" i="30" s="1"/>
  <c r="C114" i="30"/>
  <c r="C637" i="30"/>
  <c r="D637" i="30" s="1"/>
  <c r="E637" i="30" s="1"/>
  <c r="B638" i="30"/>
  <c r="C443" i="30"/>
  <c r="C636" i="30"/>
  <c r="D636" i="30" s="1"/>
  <c r="E636" i="30" s="1"/>
  <c r="D348" i="30"/>
  <c r="E348" i="30" s="1"/>
  <c r="E349" i="30" s="1"/>
  <c r="C294" i="30" s="1"/>
  <c r="C442" i="30"/>
  <c r="C487" i="30"/>
  <c r="D390" i="30"/>
  <c r="E390" i="30" s="1"/>
  <c r="E392" i="30" s="1"/>
  <c r="C299" i="30" s="1"/>
  <c r="D588" i="30"/>
  <c r="F588" i="30" s="1"/>
  <c r="H588" i="30" s="1"/>
  <c r="F632" i="30"/>
  <c r="F633" i="30" s="1"/>
  <c r="G633" i="30" s="1"/>
  <c r="D368" i="30"/>
  <c r="E368" i="30" s="1"/>
  <c r="E373" i="30" s="1"/>
  <c r="O573" i="30"/>
  <c r="F637" i="30" l="1"/>
  <c r="G637" i="30" s="1"/>
  <c r="F635" i="30"/>
  <c r="G635" i="30" s="1"/>
  <c r="C638" i="30"/>
  <c r="D638" i="30" s="1"/>
  <c r="E638" i="30" s="1"/>
  <c r="F638" i="30" s="1"/>
  <c r="G638" i="30" s="1"/>
  <c r="B639" i="30"/>
  <c r="F636" i="30"/>
  <c r="G636" i="30" s="1"/>
  <c r="E335" i="30"/>
  <c r="E339" i="30" s="1"/>
  <c r="C293" i="30" s="1"/>
  <c r="D397" i="30" s="1"/>
  <c r="E397" i="30" s="1"/>
  <c r="E400" i="30" s="1"/>
  <c r="D384" i="30"/>
  <c r="E384" i="30" s="1"/>
  <c r="E386" i="30" s="1"/>
  <c r="C298" i="30" s="1"/>
  <c r="B640" i="30" l="1"/>
  <c r="C639" i="30"/>
  <c r="D639" i="30" s="1"/>
  <c r="E639" i="30" s="1"/>
  <c r="F639" i="30" s="1"/>
  <c r="G639" i="30" s="1"/>
  <c r="B641" i="30" l="1"/>
  <c r="C640" i="30"/>
  <c r="D640" i="30" s="1"/>
  <c r="E640" i="30" s="1"/>
  <c r="F640" i="30" s="1"/>
  <c r="G640" i="30" s="1"/>
  <c r="C641" i="30" l="1"/>
  <c r="D641" i="30" s="1"/>
  <c r="E641" i="30" s="1"/>
  <c r="F641" i="30" s="1"/>
  <c r="G641" i="30" s="1"/>
  <c r="B642" i="30"/>
  <c r="C642" i="30" l="1"/>
  <c r="D642" i="30" s="1"/>
  <c r="E642" i="30" s="1"/>
  <c r="F642" i="30" s="1"/>
  <c r="G642" i="30" s="1"/>
  <c r="B643" i="30"/>
  <c r="C643" i="30" l="1"/>
  <c r="D643" i="30" s="1"/>
  <c r="E643" i="30" s="1"/>
  <c r="F643" i="30" s="1"/>
  <c r="G643" i="30" s="1"/>
  <c r="B644" i="30"/>
  <c r="B645" i="30" l="1"/>
  <c r="C644" i="30"/>
  <c r="D644" i="30" s="1"/>
  <c r="E644" i="30" s="1"/>
  <c r="F644" i="30" s="1"/>
  <c r="G644" i="30" s="1"/>
  <c r="C645" i="30" l="1"/>
  <c r="D645" i="30" s="1"/>
  <c r="E645" i="30" s="1"/>
  <c r="F645" i="30" s="1"/>
  <c r="G645" i="30" s="1"/>
  <c r="B646" i="30"/>
  <c r="C646" i="30" l="1"/>
  <c r="D646" i="30" s="1"/>
  <c r="E646" i="30" s="1"/>
  <c r="F646" i="30" s="1"/>
  <c r="G646" i="30" s="1"/>
  <c r="B647" i="30"/>
  <c r="B648" i="30" l="1"/>
  <c r="C647" i="30"/>
  <c r="D647" i="30" s="1"/>
  <c r="E647" i="30" s="1"/>
  <c r="F647" i="30" s="1"/>
  <c r="G647" i="30" s="1"/>
  <c r="B649" i="30" l="1"/>
  <c r="C648" i="30"/>
  <c r="D648" i="30" s="1"/>
  <c r="E648" i="30" s="1"/>
  <c r="F648" i="30" s="1"/>
  <c r="G648" i="30" s="1"/>
  <c r="C649" i="30" l="1"/>
  <c r="D649" i="30" s="1"/>
  <c r="E649" i="30" s="1"/>
  <c r="F649" i="30" s="1"/>
  <c r="G649" i="30" s="1"/>
  <c r="B650" i="30"/>
  <c r="C650" i="30" l="1"/>
  <c r="D650" i="30" s="1"/>
  <c r="E650" i="30" s="1"/>
  <c r="F650" i="30" s="1"/>
  <c r="G650" i="30" s="1"/>
  <c r="B651" i="30"/>
  <c r="C651" i="30" l="1"/>
  <c r="D651" i="30" s="1"/>
  <c r="E651" i="30" s="1"/>
  <c r="F651" i="30" s="1"/>
  <c r="G651" i="30" s="1"/>
  <c r="B652" i="30"/>
  <c r="C652" i="30" s="1"/>
  <c r="D652" i="30" s="1"/>
  <c r="E652" i="30" s="1"/>
  <c r="F652" i="30" s="1"/>
  <c r="G652" i="30" s="1"/>
  <c r="C53" i="24" l="1"/>
  <c r="H58" i="27" l="1"/>
  <c r="H20" i="20"/>
  <c r="H78" i="23" l="1"/>
  <c r="H79" i="23"/>
  <c r="H77" i="23"/>
  <c r="H90" i="23" l="1"/>
  <c r="H112" i="23" l="1"/>
  <c r="H30" i="23"/>
  <c r="H31" i="23"/>
  <c r="H29" i="23"/>
  <c r="H29" i="22" l="1"/>
  <c r="E39" i="22"/>
  <c r="H35" i="22"/>
  <c r="H34" i="22"/>
  <c r="H22" i="22"/>
  <c r="H50" i="20"/>
  <c r="H28" i="23"/>
  <c r="H27" i="23"/>
  <c r="H35" i="8"/>
  <c r="H129" i="8"/>
  <c r="H110" i="8"/>
  <c r="H130" i="23"/>
  <c r="E34" i="14"/>
  <c r="H54" i="8" l="1"/>
  <c r="F34" i="21"/>
  <c r="G34" i="21"/>
  <c r="I34" i="21"/>
  <c r="J34" i="21"/>
  <c r="L34" i="21"/>
  <c r="M34" i="21"/>
  <c r="O34" i="21"/>
  <c r="P34" i="21"/>
  <c r="R34" i="21"/>
  <c r="S34" i="21"/>
  <c r="U34" i="21"/>
  <c r="H33" i="21"/>
  <c r="I33" i="21"/>
  <c r="J33" i="21"/>
  <c r="K33" i="21"/>
  <c r="L33" i="21"/>
  <c r="M33" i="21"/>
  <c r="N33" i="21"/>
  <c r="O33" i="21"/>
  <c r="P33" i="21"/>
  <c r="Q33" i="21"/>
  <c r="R33" i="21"/>
  <c r="S33" i="21"/>
  <c r="T33" i="21"/>
  <c r="U33" i="21"/>
  <c r="I32" i="21"/>
  <c r="J32" i="21"/>
  <c r="L32" i="21"/>
  <c r="M32" i="21"/>
  <c r="O32" i="21"/>
  <c r="P32" i="21"/>
  <c r="R32" i="21"/>
  <c r="S32" i="21"/>
  <c r="U32" i="21"/>
  <c r="C63" i="27"/>
  <c r="H63" i="27" s="1"/>
  <c r="H62" i="27"/>
  <c r="C62" i="27"/>
  <c r="H61" i="27"/>
  <c r="H60" i="27" s="1"/>
  <c r="H59" i="27"/>
  <c r="H57" i="27" s="1"/>
  <c r="H56" i="27" s="1"/>
  <c r="H55" i="27"/>
  <c r="H54" i="27"/>
  <c r="C53" i="27"/>
  <c r="H53" i="27" s="1"/>
  <c r="H52" i="27" s="1"/>
  <c r="H50" i="27" s="1"/>
  <c r="C51" i="27" s="1"/>
  <c r="H51" i="27" s="1"/>
  <c r="C49" i="27" s="1"/>
  <c r="H49" i="27" s="1"/>
  <c r="H47" i="27"/>
  <c r="H46" i="27"/>
  <c r="H45" i="27"/>
  <c r="H44" i="27" s="1"/>
  <c r="H43" i="27" s="1"/>
  <c r="H42" i="27" s="1"/>
  <c r="H41" i="27" s="1"/>
  <c r="H40" i="27" s="1"/>
  <c r="H30" i="27" s="1"/>
  <c r="H29" i="27" s="1"/>
  <c r="H28" i="27"/>
  <c r="C27" i="27"/>
  <c r="H27" i="27" s="1"/>
  <c r="H26" i="27"/>
  <c r="H25" i="27"/>
  <c r="H24" i="27" s="1"/>
  <c r="H23" i="27"/>
  <c r="H22" i="27" s="1"/>
  <c r="H21" i="27"/>
  <c r="H20" i="27" s="1"/>
  <c r="H19" i="27" s="1"/>
  <c r="H18" i="27"/>
  <c r="H17" i="27" s="1"/>
  <c r="H16" i="27" s="1"/>
  <c r="B13" i="27"/>
  <c r="X9" i="27"/>
  <c r="V9" i="27"/>
  <c r="V7" i="27" s="1"/>
  <c r="U9" i="27"/>
  <c r="U7" i="27" s="1"/>
  <c r="S9" i="27"/>
  <c r="R9" i="27"/>
  <c r="P9" i="27"/>
  <c r="O9" i="27"/>
  <c r="M9" i="27"/>
  <c r="L9" i="27"/>
  <c r="J9" i="27"/>
  <c r="I9" i="27"/>
  <c r="B38" i="27" s="1"/>
  <c r="X8" i="27"/>
  <c r="W8" i="27"/>
  <c r="V8" i="27"/>
  <c r="U8" i="27"/>
  <c r="T8" i="27"/>
  <c r="S8" i="27"/>
  <c r="R8" i="27"/>
  <c r="Q8" i="27"/>
  <c r="P8" i="27"/>
  <c r="O8" i="27"/>
  <c r="N8" i="27"/>
  <c r="M8" i="27"/>
  <c r="L8" i="27"/>
  <c r="L7" i="27" s="1"/>
  <c r="K8" i="27"/>
  <c r="X7" i="27"/>
  <c r="S7" i="27"/>
  <c r="P7" i="27"/>
  <c r="O7" i="27"/>
  <c r="F22" i="21"/>
  <c r="G22" i="21"/>
  <c r="I22" i="21"/>
  <c r="J22" i="21"/>
  <c r="L22" i="21"/>
  <c r="M22" i="21"/>
  <c r="O22" i="21"/>
  <c r="P22" i="21"/>
  <c r="R22" i="21"/>
  <c r="S22" i="21"/>
  <c r="U22" i="21"/>
  <c r="F21" i="21"/>
  <c r="G21" i="21"/>
  <c r="I21" i="21"/>
  <c r="J21" i="21"/>
  <c r="L21" i="21"/>
  <c r="M21" i="21"/>
  <c r="O21" i="21"/>
  <c r="P21" i="21"/>
  <c r="R21" i="21"/>
  <c r="S21" i="21"/>
  <c r="U21" i="21"/>
  <c r="C31" i="25"/>
  <c r="H31" i="25" s="1"/>
  <c r="H30" i="25" s="1"/>
  <c r="C32" i="25" s="1"/>
  <c r="H32" i="25" s="1"/>
  <c r="H29" i="25" s="1"/>
  <c r="H28" i="25"/>
  <c r="H27" i="25" s="1"/>
  <c r="H26" i="25" s="1"/>
  <c r="H25" i="25" s="1"/>
  <c r="H24" i="25" s="1"/>
  <c r="H23" i="25" s="1"/>
  <c r="H22" i="25" s="1"/>
  <c r="H21" i="25"/>
  <c r="H20" i="25" s="1"/>
  <c r="H19" i="25" s="1"/>
  <c r="H18" i="25" s="1"/>
  <c r="H17" i="25"/>
  <c r="H16" i="25" s="1"/>
  <c r="H15" i="25" s="1"/>
  <c r="X8" i="25"/>
  <c r="V8" i="25"/>
  <c r="U8" i="25"/>
  <c r="U7" i="25" s="1"/>
  <c r="S8" i="25"/>
  <c r="R8" i="25"/>
  <c r="P8" i="25"/>
  <c r="O8" i="25"/>
  <c r="O7" i="25" s="1"/>
  <c r="M8" i="25"/>
  <c r="M7" i="25" s="1"/>
  <c r="L8" i="25"/>
  <c r="L7" i="25" s="1"/>
  <c r="J8" i="25"/>
  <c r="I8" i="25"/>
  <c r="B12" i="25" s="1"/>
  <c r="X7" i="25"/>
  <c r="V7" i="25"/>
  <c r="S7" i="25"/>
  <c r="R7" i="25"/>
  <c r="P7" i="25"/>
  <c r="J7" i="25"/>
  <c r="H52" i="24" l="1"/>
  <c r="I7" i="25"/>
  <c r="M7" i="27"/>
  <c r="R7" i="27"/>
  <c r="H33" i="27"/>
  <c r="H48" i="27"/>
  <c r="H65" i="27" s="1"/>
  <c r="Q9" i="27" l="1"/>
  <c r="F9" i="27"/>
  <c r="C34" i="21" s="1"/>
  <c r="N9" i="27"/>
  <c r="W9" i="27"/>
  <c r="G9" i="27"/>
  <c r="D34" i="21" s="1"/>
  <c r="T9" i="27"/>
  <c r="K9" i="27"/>
  <c r="H66" i="27"/>
  <c r="H8" i="27"/>
  <c r="E33" i="21" s="1"/>
  <c r="H34" i="27"/>
  <c r="E8" i="27" s="1"/>
  <c r="B33" i="21" s="1"/>
  <c r="G8" i="27"/>
  <c r="F8" i="27"/>
  <c r="C33" i="21" s="1"/>
  <c r="I8" i="27"/>
  <c r="N7" i="27" l="1"/>
  <c r="K32" i="21" s="1"/>
  <c r="K34" i="21"/>
  <c r="K7" i="27"/>
  <c r="H32" i="21" s="1"/>
  <c r="H34" i="21"/>
  <c r="T7" i="27"/>
  <c r="Q32" i="21" s="1"/>
  <c r="Q34" i="21"/>
  <c r="W7" i="27"/>
  <c r="T32" i="21" s="1"/>
  <c r="T34" i="21"/>
  <c r="Q7" i="27"/>
  <c r="N32" i="21" s="1"/>
  <c r="N34" i="21"/>
  <c r="G7" i="27"/>
  <c r="D32" i="21" s="1"/>
  <c r="D33" i="21"/>
  <c r="C34" i="14" s="1"/>
  <c r="I7" i="27"/>
  <c r="F32" i="21" s="1"/>
  <c r="F33" i="21"/>
  <c r="E9" i="27"/>
  <c r="B34" i="21" s="1"/>
  <c r="H9" i="27"/>
  <c r="J8" i="27"/>
  <c r="F7" i="27"/>
  <c r="C32" i="21" s="1"/>
  <c r="D35" i="14" l="1"/>
  <c r="E35" i="14"/>
  <c r="H7" i="27"/>
  <c r="E32" i="21" s="1"/>
  <c r="E34" i="21"/>
  <c r="C35" i="14" s="1"/>
  <c r="E33" i="14"/>
  <c r="J7" i="27"/>
  <c r="G32" i="21" s="1"/>
  <c r="D33" i="14" s="1"/>
  <c r="G33" i="21"/>
  <c r="D34" i="14" s="1"/>
  <c r="E7" i="27"/>
  <c r="Y8" i="27"/>
  <c r="V33" i="21" s="1"/>
  <c r="Y9" i="27"/>
  <c r="V34" i="21" s="1"/>
  <c r="F19" i="21"/>
  <c r="H19" i="21"/>
  <c r="J19" i="21"/>
  <c r="L19" i="21"/>
  <c r="N19" i="21"/>
  <c r="O19" i="21"/>
  <c r="P19" i="21"/>
  <c r="Q19" i="21"/>
  <c r="R19" i="21"/>
  <c r="S19" i="21"/>
  <c r="T19" i="21"/>
  <c r="U19" i="21"/>
  <c r="H51" i="24"/>
  <c r="H50" i="24" s="1"/>
  <c r="H49" i="24" s="1"/>
  <c r="H48" i="24" s="1"/>
  <c r="H47" i="24" s="1"/>
  <c r="H46" i="24" s="1"/>
  <c r="H45" i="24" s="1"/>
  <c r="H44" i="24" s="1"/>
  <c r="H43" i="24" s="1"/>
  <c r="H42" i="24" s="1"/>
  <c r="H41" i="24" s="1"/>
  <c r="H40" i="24" s="1"/>
  <c r="C39" i="24"/>
  <c r="H39" i="24" s="1"/>
  <c r="H38" i="24"/>
  <c r="H37" i="24" s="1"/>
  <c r="H36" i="24" s="1"/>
  <c r="H35" i="24" s="1"/>
  <c r="H34" i="24"/>
  <c r="H33" i="24" s="1"/>
  <c r="H32" i="24" s="1"/>
  <c r="H31" i="24"/>
  <c r="H21" i="24"/>
  <c r="H20" i="24"/>
  <c r="H19" i="24" s="1"/>
  <c r="H18" i="24"/>
  <c r="H17" i="24"/>
  <c r="H16" i="24"/>
  <c r="E40" i="22"/>
  <c r="H32" i="23"/>
  <c r="B35" i="14" l="1"/>
  <c r="B34" i="28" s="1"/>
  <c r="F22" i="29"/>
  <c r="B34" i="14"/>
  <c r="B33" i="28" s="1"/>
  <c r="F21" i="29"/>
  <c r="G34" i="28"/>
  <c r="F34" i="28"/>
  <c r="H34" i="28"/>
  <c r="H24" i="24"/>
  <c r="H23" i="24" s="1"/>
  <c r="H22" i="24" s="1"/>
  <c r="B29" i="24" s="1"/>
  <c r="B13" i="24" s="1"/>
  <c r="H56" i="24"/>
  <c r="E20" i="14"/>
  <c r="Y7" i="27"/>
  <c r="V32" i="21" s="1"/>
  <c r="B33" i="14" s="1"/>
  <c r="B32" i="28" s="1"/>
  <c r="B32" i="21"/>
  <c r="C33" i="14" s="1"/>
  <c r="G33" i="28"/>
  <c r="H33" i="28"/>
  <c r="F33" i="28"/>
  <c r="H53" i="24"/>
  <c r="H26" i="24" l="1"/>
  <c r="G8" i="24" s="1"/>
  <c r="D19" i="21" s="1"/>
  <c r="F32" i="28"/>
  <c r="C32" i="28" s="1"/>
  <c r="G32" i="28"/>
  <c r="D32" i="28" s="1"/>
  <c r="H32" i="28"/>
  <c r="E32" i="28" s="1"/>
  <c r="P34" i="28"/>
  <c r="N34" i="28"/>
  <c r="O34" i="28"/>
  <c r="M34" i="28"/>
  <c r="H35" i="25"/>
  <c r="H34" i="25" s="1"/>
  <c r="H33" i="25" s="1"/>
  <c r="H37" i="25" s="1"/>
  <c r="H59" i="24"/>
  <c r="P9" i="24" s="1"/>
  <c r="Q9" i="24" s="1"/>
  <c r="R9" i="24" s="1"/>
  <c r="S9" i="24" s="1"/>
  <c r="T9" i="24" s="1"/>
  <c r="U9" i="24" s="1"/>
  <c r="V9" i="24" s="1"/>
  <c r="W9" i="24" s="1"/>
  <c r="X9" i="24" s="1"/>
  <c r="H58" i="24"/>
  <c r="J9" i="24" s="1"/>
  <c r="K9" i="24" s="1"/>
  <c r="L9" i="24" s="1"/>
  <c r="M9" i="24" s="1"/>
  <c r="N9" i="24" s="1"/>
  <c r="O9" i="24" s="1"/>
  <c r="I56" i="24"/>
  <c r="E9" i="24" s="1"/>
  <c r="H57" i="24"/>
  <c r="F9" i="24" s="1"/>
  <c r="G9" i="24" s="1"/>
  <c r="H9" i="24" s="1"/>
  <c r="I9" i="24" s="1"/>
  <c r="P33" i="28"/>
  <c r="O33" i="28"/>
  <c r="M33" i="28"/>
  <c r="N33" i="28"/>
  <c r="F8" i="24" l="1"/>
  <c r="F7" i="24" s="1"/>
  <c r="C18" i="21" s="1"/>
  <c r="H27" i="24"/>
  <c r="H8" i="24" s="1"/>
  <c r="H7" i="24" s="1"/>
  <c r="E18" i="21" s="1"/>
  <c r="P32" i="28"/>
  <c r="O32" i="28"/>
  <c r="K32" i="28" s="1"/>
  <c r="M32" i="28"/>
  <c r="I32" i="28" s="1"/>
  <c r="N32" i="28"/>
  <c r="J32" i="28" s="1"/>
  <c r="W8" i="25"/>
  <c r="N8" i="25"/>
  <c r="F8" i="25"/>
  <c r="T8" i="25"/>
  <c r="Q8" i="25"/>
  <c r="G8" i="25"/>
  <c r="H38" i="25"/>
  <c r="K8" i="25"/>
  <c r="M20" i="21"/>
  <c r="G20" i="21"/>
  <c r="I20" i="21"/>
  <c r="K20" i="21"/>
  <c r="V7" i="24"/>
  <c r="S18" i="21" s="1"/>
  <c r="S20" i="21"/>
  <c r="C20" i="21"/>
  <c r="E20" i="21"/>
  <c r="D20" i="21"/>
  <c r="Y9" i="24"/>
  <c r="V20" i="21" s="1"/>
  <c r="B20" i="21"/>
  <c r="S7" i="24"/>
  <c r="P18" i="21" s="1"/>
  <c r="P20" i="21"/>
  <c r="T7" i="24"/>
  <c r="Q18" i="21" s="1"/>
  <c r="Q20" i="21"/>
  <c r="G7" i="24"/>
  <c r="D18" i="21" s="1"/>
  <c r="M7" i="24"/>
  <c r="J18" i="21" s="1"/>
  <c r="J20" i="21"/>
  <c r="K7" i="24"/>
  <c r="H18" i="21" s="1"/>
  <c r="H20" i="21"/>
  <c r="Q7" i="24"/>
  <c r="N18" i="21" s="1"/>
  <c r="N20" i="21"/>
  <c r="R7" i="24"/>
  <c r="O18" i="21" s="1"/>
  <c r="O20" i="21"/>
  <c r="X7" i="24"/>
  <c r="U18" i="21" s="1"/>
  <c r="U20" i="21"/>
  <c r="W7" i="24"/>
  <c r="T18" i="21" s="1"/>
  <c r="T20" i="21"/>
  <c r="I7" i="24"/>
  <c r="F18" i="21" s="1"/>
  <c r="F20" i="21"/>
  <c r="O7" i="24"/>
  <c r="L18" i="21" s="1"/>
  <c r="L20" i="21"/>
  <c r="U7" i="24"/>
  <c r="R18" i="21" s="1"/>
  <c r="R20" i="21"/>
  <c r="N8" i="24"/>
  <c r="B21" i="14" l="1"/>
  <c r="B20" i="28" s="1"/>
  <c r="F12" i="29"/>
  <c r="P8" i="24"/>
  <c r="E19" i="21"/>
  <c r="J8" i="24"/>
  <c r="J7" i="24" s="1"/>
  <c r="G18" i="21" s="1"/>
  <c r="C19" i="21"/>
  <c r="L8" i="24"/>
  <c r="I19" i="21" s="1"/>
  <c r="E8" i="24"/>
  <c r="E8" i="25"/>
  <c r="H8" i="25"/>
  <c r="N22" i="21"/>
  <c r="Q7" i="25"/>
  <c r="N21" i="21" s="1"/>
  <c r="K7" i="25"/>
  <c r="H21" i="21" s="1"/>
  <c r="H22" i="21"/>
  <c r="G7" i="25"/>
  <c r="D21" i="21" s="1"/>
  <c r="D22" i="21"/>
  <c r="T7" i="25"/>
  <c r="Q21" i="21" s="1"/>
  <c r="Q22" i="21"/>
  <c r="F7" i="25"/>
  <c r="C21" i="21" s="1"/>
  <c r="C22" i="21"/>
  <c r="K22" i="21"/>
  <c r="N7" i="25"/>
  <c r="K21" i="21" s="1"/>
  <c r="T22" i="21"/>
  <c r="W7" i="25"/>
  <c r="T21" i="21" s="1"/>
  <c r="C21" i="14"/>
  <c r="D21" i="14"/>
  <c r="P7" i="24"/>
  <c r="M18" i="21" s="1"/>
  <c r="M19" i="21"/>
  <c r="N7" i="24"/>
  <c r="K18" i="21" s="1"/>
  <c r="K19" i="21"/>
  <c r="E21" i="14"/>
  <c r="L7" i="24"/>
  <c r="I18" i="21" s="1"/>
  <c r="E19" i="14"/>
  <c r="F20" i="28"/>
  <c r="G20" i="28"/>
  <c r="H20" i="28"/>
  <c r="G19" i="21" l="1"/>
  <c r="D20" i="14" s="1"/>
  <c r="Y8" i="24"/>
  <c r="V19" i="21" s="1"/>
  <c r="D23" i="14"/>
  <c r="E7" i="24"/>
  <c r="B18" i="21" s="1"/>
  <c r="C19" i="14" s="1"/>
  <c r="B19" i="21"/>
  <c r="C20" i="14" s="1"/>
  <c r="D22" i="14"/>
  <c r="E22" i="14"/>
  <c r="E23" i="14"/>
  <c r="H7" i="25"/>
  <c r="E21" i="21" s="1"/>
  <c r="E22" i="21"/>
  <c r="B22" i="21"/>
  <c r="E7" i="25"/>
  <c r="Y8" i="25"/>
  <c r="V22" i="21" s="1"/>
  <c r="D19" i="14"/>
  <c r="O20" i="28"/>
  <c r="P20" i="28"/>
  <c r="M20" i="28"/>
  <c r="N20" i="28"/>
  <c r="H135" i="23"/>
  <c r="H129" i="23" s="1"/>
  <c r="H128" i="23" s="1"/>
  <c r="H127" i="23" s="1"/>
  <c r="H126" i="23" s="1"/>
  <c r="H125" i="23" s="1"/>
  <c r="H116" i="23" s="1"/>
  <c r="H115" i="23"/>
  <c r="H114" i="23"/>
  <c r="C113" i="23"/>
  <c r="H106" i="23"/>
  <c r="H105" i="23" s="1"/>
  <c r="H104" i="23" s="1"/>
  <c r="H103" i="23"/>
  <c r="H102" i="23" s="1"/>
  <c r="H101" i="23" s="1"/>
  <c r="H100" i="23" s="1"/>
  <c r="H99" i="23"/>
  <c r="H98" i="23"/>
  <c r="H97" i="23"/>
  <c r="H86" i="23" s="1"/>
  <c r="H85" i="23"/>
  <c r="H84" i="23"/>
  <c r="H82" i="23" s="1"/>
  <c r="H81" i="23" s="1"/>
  <c r="H80" i="23" s="1"/>
  <c r="H76" i="23" s="1"/>
  <c r="H75" i="23" s="1"/>
  <c r="H74" i="23" s="1"/>
  <c r="H73" i="23" s="1"/>
  <c r="H72" i="23"/>
  <c r="H71" i="23" s="1"/>
  <c r="H70" i="23"/>
  <c r="H56" i="23"/>
  <c r="H55" i="23"/>
  <c r="C54" i="23"/>
  <c r="G53" i="23"/>
  <c r="H52" i="23"/>
  <c r="H51" i="23" s="1"/>
  <c r="H50" i="23"/>
  <c r="H49" i="23" s="1"/>
  <c r="H48" i="23" s="1"/>
  <c r="C47" i="23"/>
  <c r="H47" i="23" s="1"/>
  <c r="H46" i="23" s="1"/>
  <c r="C45" i="23"/>
  <c r="H45" i="23" s="1"/>
  <c r="H44" i="23" s="1"/>
  <c r="C43" i="23"/>
  <c r="H43" i="23" s="1"/>
  <c r="H42" i="23" s="1"/>
  <c r="H41" i="23"/>
  <c r="H26" i="23"/>
  <c r="H25" i="23" s="1"/>
  <c r="H24" i="23" s="1"/>
  <c r="H23" i="23" s="1"/>
  <c r="H22" i="23" s="1"/>
  <c r="H21" i="23" s="1"/>
  <c r="C20" i="23"/>
  <c r="H20" i="23" s="1"/>
  <c r="H19" i="23"/>
  <c r="H18" i="23"/>
  <c r="C33" i="22"/>
  <c r="E30" i="22"/>
  <c r="H30" i="22" s="1"/>
  <c r="B48" i="22"/>
  <c r="B13" i="22" s="1"/>
  <c r="B23" i="14" l="1"/>
  <c r="B22" i="28" s="1"/>
  <c r="F13" i="29"/>
  <c r="B20" i="14"/>
  <c r="B19" i="28" s="1"/>
  <c r="H19" i="28" s="1"/>
  <c r="H18" i="28" s="1"/>
  <c r="F11" i="29"/>
  <c r="G19" i="28"/>
  <c r="G18" i="28" s="1"/>
  <c r="F19" i="28"/>
  <c r="F18" i="28" s="1"/>
  <c r="Y7" i="24"/>
  <c r="V18" i="21" s="1"/>
  <c r="B19" i="14" s="1"/>
  <c r="B18" i="28" s="1"/>
  <c r="E18" i="28" s="1"/>
  <c r="H33" i="23"/>
  <c r="H34" i="23" s="1"/>
  <c r="J8" i="23" s="1"/>
  <c r="G13" i="21" s="1"/>
  <c r="Y7" i="25"/>
  <c r="V21" i="21" s="1"/>
  <c r="B22" i="14" s="1"/>
  <c r="B21" i="28" s="1"/>
  <c r="B21" i="21"/>
  <c r="C22" i="14" s="1"/>
  <c r="C23" i="14"/>
  <c r="F22" i="28"/>
  <c r="G22" i="28"/>
  <c r="G21" i="28" s="1"/>
  <c r="H22" i="28"/>
  <c r="H21" i="28" s="1"/>
  <c r="H57" i="23"/>
  <c r="H62" i="23" s="1"/>
  <c r="J9" i="23" s="1"/>
  <c r="G14" i="21" s="1"/>
  <c r="H111" i="23"/>
  <c r="H110" i="23" s="1"/>
  <c r="H109" i="23" s="1"/>
  <c r="H108" i="23" s="1"/>
  <c r="H107" i="23" s="1"/>
  <c r="H118" i="23" s="1"/>
  <c r="O11" i="23" s="1"/>
  <c r="L16" i="21" s="1"/>
  <c r="H83" i="23"/>
  <c r="H87" i="23" s="1"/>
  <c r="I87" i="23" s="1"/>
  <c r="E10" i="23" s="1"/>
  <c r="B15" i="21" s="1"/>
  <c r="B122" i="23"/>
  <c r="B94" i="23" s="1"/>
  <c r="B67" i="23" s="1"/>
  <c r="B38" i="23" s="1"/>
  <c r="B15" i="23" s="1"/>
  <c r="H54" i="23"/>
  <c r="H53" i="23"/>
  <c r="H113" i="23"/>
  <c r="P19" i="28" l="1"/>
  <c r="P18" i="28" s="1"/>
  <c r="L18" i="28" s="1"/>
  <c r="M19" i="28"/>
  <c r="M18" i="28" s="1"/>
  <c r="I18" i="28" s="1"/>
  <c r="N19" i="28"/>
  <c r="N18" i="28" s="1"/>
  <c r="J18" i="28" s="1"/>
  <c r="O19" i="28"/>
  <c r="O18" i="28" s="1"/>
  <c r="K18" i="28" s="1"/>
  <c r="C18" i="28"/>
  <c r="D18" i="28"/>
  <c r="D21" i="28"/>
  <c r="E21" i="28"/>
  <c r="F21" i="28"/>
  <c r="C21" i="28" s="1"/>
  <c r="M22" i="28"/>
  <c r="M21" i="28" s="1"/>
  <c r="O22" i="28"/>
  <c r="O21" i="28" s="1"/>
  <c r="P22" i="28"/>
  <c r="P21" i="28" s="1"/>
  <c r="N22" i="28"/>
  <c r="N21" i="28" s="1"/>
  <c r="H89" i="23"/>
  <c r="F10" i="23" s="1"/>
  <c r="C15" i="21" s="1"/>
  <c r="F8" i="23"/>
  <c r="C13" i="21" s="1"/>
  <c r="I33" i="23"/>
  <c r="E8" i="23" s="1"/>
  <c r="B13" i="21" s="1"/>
  <c r="C39" i="22"/>
  <c r="H39" i="22" s="1"/>
  <c r="H37" i="22"/>
  <c r="K8" i="23"/>
  <c r="H13" i="21" s="1"/>
  <c r="H117" i="23"/>
  <c r="F11" i="23" s="1"/>
  <c r="C16" i="21" s="1"/>
  <c r="H60" i="23"/>
  <c r="F9" i="23" s="1"/>
  <c r="C14" i="21" s="1"/>
  <c r="K9" i="23"/>
  <c r="H14" i="21" s="1"/>
  <c r="P11" i="23"/>
  <c r="M16" i="21" s="1"/>
  <c r="I21" i="28" l="1"/>
  <c r="J21" i="28"/>
  <c r="L21" i="28"/>
  <c r="K21" i="28"/>
  <c r="L8" i="23"/>
  <c r="I13" i="21" s="1"/>
  <c r="G8" i="23"/>
  <c r="D13" i="21" s="1"/>
  <c r="I117" i="23"/>
  <c r="E11" i="23" s="1"/>
  <c r="B16" i="21" s="1"/>
  <c r="I60" i="23"/>
  <c r="E9" i="23" s="1"/>
  <c r="B14" i="21" s="1"/>
  <c r="G9" i="23"/>
  <c r="D14" i="21" s="1"/>
  <c r="Q11" i="23"/>
  <c r="N16" i="21" s="1"/>
  <c r="L9" i="23"/>
  <c r="I14" i="21" s="1"/>
  <c r="G11" i="23"/>
  <c r="D16" i="21" s="1"/>
  <c r="H8" i="23" l="1"/>
  <c r="E13" i="21" s="1"/>
  <c r="M8" i="23"/>
  <c r="J13" i="21" s="1"/>
  <c r="R11" i="23"/>
  <c r="O16" i="21" s="1"/>
  <c r="H11" i="23"/>
  <c r="H9" i="23"/>
  <c r="E14" i="21" s="1"/>
  <c r="M9" i="23"/>
  <c r="J14" i="21" s="1"/>
  <c r="E16" i="21" l="1"/>
  <c r="C17" i="14" s="1"/>
  <c r="N8" i="23"/>
  <c r="K13" i="21" s="1"/>
  <c r="C14" i="14"/>
  <c r="I8" i="23"/>
  <c r="F13" i="21" s="1"/>
  <c r="C15" i="14"/>
  <c r="I9" i="23"/>
  <c r="F14" i="21" s="1"/>
  <c r="N9" i="23"/>
  <c r="K14" i="21" s="1"/>
  <c r="I11" i="23"/>
  <c r="F16" i="21" s="1"/>
  <c r="S11" i="23"/>
  <c r="P16" i="21" s="1"/>
  <c r="T11" i="23" l="1"/>
  <c r="Q16" i="21" s="1"/>
  <c r="O9" i="23"/>
  <c r="L14" i="21" s="1"/>
  <c r="J11" i="23"/>
  <c r="G16" i="21" s="1"/>
  <c r="O8" i="23"/>
  <c r="L13" i="21" s="1"/>
  <c r="P8" i="23" l="1"/>
  <c r="M13" i="21" s="1"/>
  <c r="U11" i="23"/>
  <c r="R16" i="21" s="1"/>
  <c r="P9" i="23"/>
  <c r="K11" i="23"/>
  <c r="H16" i="21" s="1"/>
  <c r="Q8" i="23"/>
  <c r="N13" i="21" s="1"/>
  <c r="M14" i="21" l="1"/>
  <c r="D15" i="14" s="1"/>
  <c r="D14" i="14"/>
  <c r="T8" i="23"/>
  <c r="Q13" i="21" s="1"/>
  <c r="Q9" i="23"/>
  <c r="N14" i="21" s="1"/>
  <c r="L11" i="23"/>
  <c r="I16" i="21" s="1"/>
  <c r="V11" i="23"/>
  <c r="S16" i="21" s="1"/>
  <c r="R8" i="23"/>
  <c r="O13" i="21" s="1"/>
  <c r="S8" i="23" l="1"/>
  <c r="P13" i="21" s="1"/>
  <c r="M11" i="23"/>
  <c r="J16" i="21" s="1"/>
  <c r="W11" i="23"/>
  <c r="T16" i="21" s="1"/>
  <c r="R9" i="23"/>
  <c r="O14" i="21" s="1"/>
  <c r="U8" i="23"/>
  <c r="R13" i="21" s="1"/>
  <c r="X8" i="23" l="1"/>
  <c r="U13" i="21" s="1"/>
  <c r="X11" i="23"/>
  <c r="U16" i="21" s="1"/>
  <c r="N11" i="23"/>
  <c r="S9" i="23"/>
  <c r="P14" i="21" s="1"/>
  <c r="V8" i="23"/>
  <c r="S13" i="21" s="1"/>
  <c r="K16" i="21" l="1"/>
  <c r="D17" i="14" s="1"/>
  <c r="E17" i="14"/>
  <c r="Y11" i="23"/>
  <c r="T9" i="23"/>
  <c r="Q14" i="21" s="1"/>
  <c r="W8" i="23"/>
  <c r="V16" i="21" l="1"/>
  <c r="Y8" i="23"/>
  <c r="V13" i="21" s="1"/>
  <c r="T13" i="21"/>
  <c r="E14" i="14" s="1"/>
  <c r="U9" i="23"/>
  <c r="R14" i="21" s="1"/>
  <c r="B14" i="14" l="1"/>
  <c r="B13" i="28" s="1"/>
  <c r="F6" i="29"/>
  <c r="B17" i="14"/>
  <c r="B16" i="28" s="1"/>
  <c r="F9" i="29"/>
  <c r="G16" i="28"/>
  <c r="H16" i="28"/>
  <c r="F16" i="28"/>
  <c r="N16" i="28" s="1"/>
  <c r="H13" i="28"/>
  <c r="G13" i="28"/>
  <c r="F13" i="28"/>
  <c r="V9" i="23"/>
  <c r="S14" i="21" s="1"/>
  <c r="H91" i="20"/>
  <c r="H88" i="20"/>
  <c r="H86" i="20"/>
  <c r="H68" i="20"/>
  <c r="H70" i="20"/>
  <c r="H64" i="20"/>
  <c r="M16" i="28" l="1"/>
  <c r="P16" i="28"/>
  <c r="O16" i="28"/>
  <c r="M13" i="28"/>
  <c r="N13" i="28"/>
  <c r="O13" i="28"/>
  <c r="P13" i="28"/>
  <c r="W9" i="23"/>
  <c r="T14" i="21" s="1"/>
  <c r="K10" i="20"/>
  <c r="O10" i="20" s="1"/>
  <c r="T10" i="20" s="1"/>
  <c r="X9" i="23" l="1"/>
  <c r="U14" i="21" s="1"/>
  <c r="E15" i="14" l="1"/>
  <c r="Y9" i="23"/>
  <c r="H55" i="9"/>
  <c r="V14" i="21" l="1"/>
  <c r="U41" i="21"/>
  <c r="T41" i="21"/>
  <c r="S41" i="21"/>
  <c r="R41" i="21"/>
  <c r="Q41" i="21"/>
  <c r="P41" i="21"/>
  <c r="O41" i="21"/>
  <c r="N41" i="21"/>
  <c r="M41" i="21"/>
  <c r="L41" i="21"/>
  <c r="K41" i="21"/>
  <c r="J41" i="21"/>
  <c r="I41" i="21"/>
  <c r="H41" i="21"/>
  <c r="G41" i="21"/>
  <c r="F41" i="21"/>
  <c r="E41" i="21"/>
  <c r="U40" i="21"/>
  <c r="T40" i="21"/>
  <c r="S40" i="21"/>
  <c r="R40" i="21"/>
  <c r="Q40" i="21"/>
  <c r="P40" i="21"/>
  <c r="O40" i="21"/>
  <c r="N40" i="21"/>
  <c r="M40" i="21"/>
  <c r="L40" i="21"/>
  <c r="K40" i="21"/>
  <c r="J40" i="21"/>
  <c r="I40" i="21"/>
  <c r="H40" i="21"/>
  <c r="G40" i="21"/>
  <c r="F40" i="21"/>
  <c r="E40" i="21"/>
  <c r="U39" i="21"/>
  <c r="T39" i="21"/>
  <c r="S39" i="21"/>
  <c r="R39" i="21"/>
  <c r="P39" i="21"/>
  <c r="O39" i="21"/>
  <c r="N39" i="21"/>
  <c r="M39" i="21"/>
  <c r="K39" i="21"/>
  <c r="J39" i="21"/>
  <c r="I39" i="21"/>
  <c r="H39" i="21"/>
  <c r="F39" i="21"/>
  <c r="E39" i="21"/>
  <c r="D39" i="21"/>
  <c r="C39" i="21"/>
  <c r="T38" i="21"/>
  <c r="S38" i="21"/>
  <c r="R38" i="21"/>
  <c r="Q38" i="21"/>
  <c r="O38" i="21"/>
  <c r="N38" i="21"/>
  <c r="M38" i="21"/>
  <c r="L38" i="21"/>
  <c r="J38" i="21"/>
  <c r="I38" i="21"/>
  <c r="H38" i="21"/>
  <c r="F38" i="21"/>
  <c r="E38" i="21"/>
  <c r="D38" i="21"/>
  <c r="T37" i="21"/>
  <c r="S37" i="21"/>
  <c r="R37" i="21"/>
  <c r="P37" i="21"/>
  <c r="O37" i="21"/>
  <c r="N37" i="21"/>
  <c r="M37" i="21"/>
  <c r="K37" i="21"/>
  <c r="J37" i="21"/>
  <c r="I37" i="21"/>
  <c r="H37" i="21"/>
  <c r="F37" i="21"/>
  <c r="E37" i="21"/>
  <c r="D37" i="21"/>
  <c r="C37" i="21"/>
  <c r="U36" i="21"/>
  <c r="T36" i="21"/>
  <c r="S36" i="21"/>
  <c r="Q36" i="21"/>
  <c r="P36" i="21"/>
  <c r="O36" i="21"/>
  <c r="N36" i="21"/>
  <c r="L36" i="21"/>
  <c r="K36" i="21"/>
  <c r="J36" i="21"/>
  <c r="I36" i="21"/>
  <c r="G36" i="21"/>
  <c r="F36" i="21"/>
  <c r="E36" i="21"/>
  <c r="D36" i="21"/>
  <c r="U28" i="21"/>
  <c r="S28" i="21"/>
  <c r="R28" i="21"/>
  <c r="Q28" i="21"/>
  <c r="O28" i="21"/>
  <c r="N28" i="21"/>
  <c r="M28" i="21"/>
  <c r="K28" i="21"/>
  <c r="J28" i="21"/>
  <c r="I28" i="21"/>
  <c r="G28" i="21"/>
  <c r="F28" i="21"/>
  <c r="E28" i="21"/>
  <c r="B111" i="20"/>
  <c r="B97" i="20"/>
  <c r="B80" i="20"/>
  <c r="B57" i="20"/>
  <c r="B41" i="20"/>
  <c r="B17" i="20"/>
  <c r="H14" i="20"/>
  <c r="I14" i="20"/>
  <c r="L14" i="20"/>
  <c r="M14" i="20"/>
  <c r="Q14" i="20"/>
  <c r="R14" i="20"/>
  <c r="V14" i="20"/>
  <c r="W14" i="20"/>
  <c r="H104" i="20"/>
  <c r="H119" i="20" s="1"/>
  <c r="H117" i="20" s="1"/>
  <c r="C83" i="20"/>
  <c r="C82" i="20"/>
  <c r="C22" i="20"/>
  <c r="W7" i="20"/>
  <c r="T35" i="21" s="1"/>
  <c r="V7" i="20"/>
  <c r="S35" i="21" s="1"/>
  <c r="R7" i="20"/>
  <c r="O35" i="21" s="1"/>
  <c r="Q7" i="20"/>
  <c r="N35" i="21" s="1"/>
  <c r="M7" i="20"/>
  <c r="J35" i="21" s="1"/>
  <c r="L7" i="20"/>
  <c r="I35" i="21" s="1"/>
  <c r="I7" i="20"/>
  <c r="F35" i="21" s="1"/>
  <c r="H7" i="20"/>
  <c r="E35" i="21" s="1"/>
  <c r="B15" i="14" l="1"/>
  <c r="B14" i="28" s="1"/>
  <c r="G14" i="28" s="1"/>
  <c r="F7" i="29"/>
  <c r="F14" i="28"/>
  <c r="P14" i="28" s="1"/>
  <c r="H14" i="28"/>
  <c r="C40" i="22"/>
  <c r="H40" i="22" s="1"/>
  <c r="H38" i="22"/>
  <c r="D41" i="14"/>
  <c r="E41" i="14"/>
  <c r="D42" i="14"/>
  <c r="E42" i="14"/>
  <c r="H120" i="20"/>
  <c r="M14" i="28" l="1"/>
  <c r="N14" i="28"/>
  <c r="O14" i="28"/>
  <c r="H127" i="8"/>
  <c r="C126" i="8"/>
  <c r="C125" i="8"/>
  <c r="H130" i="8"/>
  <c r="B120" i="8"/>
  <c r="C54" i="9"/>
  <c r="C79" i="8"/>
  <c r="C23" i="8"/>
  <c r="C22" i="8"/>
  <c r="C24" i="8" l="1"/>
  <c r="C21" i="8"/>
  <c r="H72" i="8" l="1"/>
  <c r="B64" i="8"/>
  <c r="C78" i="8"/>
  <c r="C77" i="8"/>
  <c r="C76" i="8"/>
  <c r="C75" i="8"/>
  <c r="C74" i="8"/>
  <c r="C73" i="8"/>
  <c r="C70" i="8"/>
  <c r="C71" i="8"/>
  <c r="C32" i="8" l="1"/>
  <c r="C31" i="8"/>
  <c r="C30" i="8"/>
  <c r="C25" i="8"/>
  <c r="C26" i="8"/>
  <c r="H67" i="5"/>
  <c r="H33" i="5"/>
  <c r="H65" i="5"/>
  <c r="H31" i="5"/>
  <c r="C64" i="5"/>
  <c r="C63" i="5"/>
  <c r="C60" i="5"/>
  <c r="C62" i="5"/>
  <c r="C53" i="5"/>
  <c r="C52" i="5"/>
  <c r="C28" i="5"/>
  <c r="C27" i="5"/>
  <c r="C21" i="5"/>
  <c r="C48" i="9" l="1"/>
  <c r="C47" i="9"/>
  <c r="H46" i="9"/>
  <c r="H51" i="9"/>
  <c r="H43" i="9"/>
  <c r="H21" i="9"/>
  <c r="H30" i="5" l="1"/>
  <c r="H79" i="8"/>
  <c r="H21" i="8"/>
  <c r="H20" i="9"/>
  <c r="H22" i="9"/>
  <c r="B36" i="9" l="1"/>
  <c r="H27" i="9"/>
  <c r="B13" i="9"/>
  <c r="H103" i="8"/>
  <c r="H111" i="8"/>
  <c r="C109" i="8"/>
  <c r="C108" i="8"/>
  <c r="B95" i="8"/>
  <c r="H81" i="8"/>
  <c r="H82" i="8"/>
  <c r="C50" i="8"/>
  <c r="H50" i="8" s="1"/>
  <c r="H67" i="8"/>
  <c r="C52" i="8"/>
  <c r="C51" i="8"/>
  <c r="H33" i="8"/>
  <c r="H55" i="8"/>
  <c r="H132" i="8" l="1"/>
  <c r="H72" i="20"/>
  <c r="H32" i="20"/>
  <c r="H90" i="20"/>
  <c r="H106" i="20"/>
  <c r="H35" i="5"/>
  <c r="H53" i="9"/>
  <c r="H29" i="9"/>
  <c r="H25" i="9"/>
  <c r="H69" i="5"/>
  <c r="H57" i="8"/>
  <c r="H38" i="8"/>
  <c r="H113" i="8"/>
  <c r="H75" i="8"/>
  <c r="H77" i="8"/>
  <c r="H51" i="8"/>
  <c r="H52" i="8"/>
  <c r="H84" i="8" l="1"/>
  <c r="H36" i="8"/>
  <c r="H27" i="8"/>
  <c r="H26" i="8"/>
  <c r="B43" i="8"/>
  <c r="B16" i="8"/>
  <c r="H31" i="8" l="1"/>
  <c r="H32" i="8"/>
  <c r="H61" i="5" l="1"/>
  <c r="H48" i="5"/>
  <c r="H30" i="8" l="1"/>
  <c r="H29" i="8"/>
  <c r="H109" i="8" l="1"/>
  <c r="H108" i="8"/>
  <c r="H50" i="5"/>
  <c r="H51" i="5"/>
  <c r="H20" i="22" l="1"/>
  <c r="H47" i="9" l="1"/>
  <c r="H23" i="9"/>
  <c r="H73" i="8"/>
  <c r="H22" i="8"/>
  <c r="H63" i="5"/>
  <c r="H27" i="5"/>
  <c r="H104" i="8" l="1"/>
  <c r="B42" i="5"/>
  <c r="B13" i="5"/>
  <c r="P10" i="23" l="1"/>
  <c r="M15" i="21" s="1"/>
  <c r="H33" i="22"/>
  <c r="H18" i="5"/>
  <c r="H47" i="5"/>
  <c r="H131" i="23" l="1"/>
  <c r="H133" i="23" s="1"/>
  <c r="J12" i="23" s="1"/>
  <c r="G17" i="21" s="1"/>
  <c r="Q10" i="23"/>
  <c r="N15" i="21" s="1"/>
  <c r="H31" i="22"/>
  <c r="H57" i="22"/>
  <c r="H128" i="8"/>
  <c r="H36" i="22"/>
  <c r="H32" i="22"/>
  <c r="H23" i="22"/>
  <c r="G10" i="23" l="1"/>
  <c r="D15" i="21" s="1"/>
  <c r="I12" i="23"/>
  <c r="F17" i="21" s="1"/>
  <c r="H134" i="23"/>
  <c r="N12" i="23" s="1"/>
  <c r="K17" i="21" s="1"/>
  <c r="H12" i="23"/>
  <c r="E17" i="21" s="1"/>
  <c r="F12" i="23"/>
  <c r="C17" i="21" s="1"/>
  <c r="I133" i="23"/>
  <c r="E12" i="23" s="1"/>
  <c r="B17" i="21" s="1"/>
  <c r="G12" i="23"/>
  <c r="D17" i="21" s="1"/>
  <c r="R10" i="23"/>
  <c r="O15" i="21" s="1"/>
  <c r="H65" i="20"/>
  <c r="H49" i="20"/>
  <c r="H48" i="20" s="1"/>
  <c r="H87" i="20"/>
  <c r="H103" i="20"/>
  <c r="H69" i="20"/>
  <c r="H118" i="20"/>
  <c r="H78" i="8"/>
  <c r="H66" i="5"/>
  <c r="H32" i="5"/>
  <c r="H26" i="9"/>
  <c r="H76" i="8"/>
  <c r="H107" i="8"/>
  <c r="H28" i="5"/>
  <c r="H25" i="22"/>
  <c r="H56" i="5"/>
  <c r="H49" i="5"/>
  <c r="H60" i="5"/>
  <c r="H57" i="5"/>
  <c r="H21" i="22"/>
  <c r="H24" i="5"/>
  <c r="H24" i="22"/>
  <c r="G13" i="23" l="1"/>
  <c r="H10" i="23"/>
  <c r="O12" i="23"/>
  <c r="L17" i="21" s="1"/>
  <c r="V12" i="23"/>
  <c r="S17" i="21" s="1"/>
  <c r="G7" i="23"/>
  <c r="D12" i="21" s="1"/>
  <c r="E7" i="23"/>
  <c r="K12" i="23"/>
  <c r="H17" i="21" s="1"/>
  <c r="T12" i="23"/>
  <c r="Q17" i="21" s="1"/>
  <c r="Q12" i="23"/>
  <c r="N17" i="21" s="1"/>
  <c r="H26" i="22"/>
  <c r="C18" i="14"/>
  <c r="E13" i="23"/>
  <c r="H18" i="22"/>
  <c r="H16" i="5"/>
  <c r="H16" i="22"/>
  <c r="F13" i="23"/>
  <c r="U12" i="23"/>
  <c r="R17" i="21" s="1"/>
  <c r="L12" i="23"/>
  <c r="I17" i="21" s="1"/>
  <c r="W12" i="23"/>
  <c r="T17" i="21" s="1"/>
  <c r="P12" i="23"/>
  <c r="M17" i="21" s="1"/>
  <c r="X12" i="23"/>
  <c r="U17" i="21" s="1"/>
  <c r="R12" i="23"/>
  <c r="S12" i="23"/>
  <c r="P17" i="21" s="1"/>
  <c r="M12" i="23"/>
  <c r="J17" i="21" s="1"/>
  <c r="F7" i="23"/>
  <c r="C12" i="21" s="1"/>
  <c r="S10" i="23"/>
  <c r="P15" i="21" s="1"/>
  <c r="H60" i="20"/>
  <c r="H82" i="20"/>
  <c r="H71" i="20"/>
  <c r="H31" i="20"/>
  <c r="H30" i="20" s="1"/>
  <c r="H29" i="20" s="1"/>
  <c r="H28" i="20" s="1"/>
  <c r="H89" i="20"/>
  <c r="H121" i="20"/>
  <c r="H123" i="8"/>
  <c r="H85" i="20"/>
  <c r="H63" i="20"/>
  <c r="H131" i="8"/>
  <c r="H125" i="8"/>
  <c r="H22" i="5"/>
  <c r="H100" i="8"/>
  <c r="H18" i="9"/>
  <c r="H98" i="8"/>
  <c r="H16" i="9"/>
  <c r="H48" i="9"/>
  <c r="H24" i="9"/>
  <c r="H52" i="9"/>
  <c r="H28" i="9"/>
  <c r="H112" i="8"/>
  <c r="H83" i="8"/>
  <c r="H74" i="8"/>
  <c r="H56" i="8"/>
  <c r="H37" i="8"/>
  <c r="H48" i="8"/>
  <c r="H70" i="8"/>
  <c r="H68" i="8"/>
  <c r="H46" i="8"/>
  <c r="H19" i="8"/>
  <c r="H45" i="5"/>
  <c r="H58" i="5"/>
  <c r="H28" i="22"/>
  <c r="H62" i="5"/>
  <c r="H34" i="5"/>
  <c r="H68" i="5"/>
  <c r="H23" i="5"/>
  <c r="H55" i="5"/>
  <c r="H25" i="5"/>
  <c r="H23" i="8"/>
  <c r="H64" i="5"/>
  <c r="H19" i="5"/>
  <c r="H24" i="8"/>
  <c r="H52" i="5"/>
  <c r="H29" i="5"/>
  <c r="H54" i="5"/>
  <c r="R7" i="23" l="1"/>
  <c r="O12" i="21" s="1"/>
  <c r="O17" i="21"/>
  <c r="E18" i="14" s="1"/>
  <c r="B12" i="21"/>
  <c r="H13" i="23"/>
  <c r="E15" i="21"/>
  <c r="C16" i="14" s="1"/>
  <c r="I10" i="23"/>
  <c r="Q13" i="23"/>
  <c r="Q7" i="23"/>
  <c r="N12" i="21" s="1"/>
  <c r="H7" i="23"/>
  <c r="S13" i="23"/>
  <c r="R13" i="23"/>
  <c r="H19" i="22"/>
  <c r="H17" i="22"/>
  <c r="H55" i="22"/>
  <c r="H54" i="22" s="1"/>
  <c r="H27" i="22"/>
  <c r="P7" i="23"/>
  <c r="M12" i="21" s="1"/>
  <c r="P13" i="23"/>
  <c r="Y12" i="23"/>
  <c r="D18" i="14"/>
  <c r="S7" i="23"/>
  <c r="P12" i="21" s="1"/>
  <c r="T10" i="23"/>
  <c r="Q15" i="21" s="1"/>
  <c r="H126" i="8"/>
  <c r="H116" i="20"/>
  <c r="H115" i="20" s="1"/>
  <c r="H61" i="20"/>
  <c r="H83" i="20"/>
  <c r="H47" i="20"/>
  <c r="H46" i="20" s="1"/>
  <c r="H21" i="20"/>
  <c r="H25" i="20"/>
  <c r="H67" i="20"/>
  <c r="H66" i="20"/>
  <c r="H84" i="20"/>
  <c r="H62" i="20"/>
  <c r="H22" i="20"/>
  <c r="H124" i="8"/>
  <c r="H21" i="5"/>
  <c r="H34" i="8"/>
  <c r="H101" i="8"/>
  <c r="H19" i="9"/>
  <c r="H99" i="8"/>
  <c r="H17" i="9"/>
  <c r="H102" i="8"/>
  <c r="H44" i="9"/>
  <c r="H28" i="8"/>
  <c r="H80" i="8"/>
  <c r="H53" i="8"/>
  <c r="H106" i="8"/>
  <c r="H105" i="8"/>
  <c r="H49" i="8"/>
  <c r="H71" i="8"/>
  <c r="H47" i="8"/>
  <c r="H69" i="8"/>
  <c r="H20" i="5"/>
  <c r="H25" i="8"/>
  <c r="H53" i="5"/>
  <c r="H17" i="5"/>
  <c r="H20" i="8"/>
  <c r="H46" i="5"/>
  <c r="H26" i="5"/>
  <c r="H37" i="5" l="1"/>
  <c r="I37" i="5" s="1"/>
  <c r="V17" i="21"/>
  <c r="E12" i="21"/>
  <c r="C13" i="14" s="1"/>
  <c r="J10" i="23"/>
  <c r="G15" i="21" s="1"/>
  <c r="F15" i="21"/>
  <c r="I13" i="23"/>
  <c r="I7" i="23"/>
  <c r="F12" i="21" s="1"/>
  <c r="H53" i="22"/>
  <c r="H52" i="22" s="1"/>
  <c r="H51" i="22" s="1"/>
  <c r="H50" i="22" s="1"/>
  <c r="H56" i="22" s="1"/>
  <c r="H58" i="22" s="1"/>
  <c r="F9" i="22" s="1"/>
  <c r="H43" i="22"/>
  <c r="H44" i="22" s="1"/>
  <c r="H38" i="5"/>
  <c r="F8" i="5" s="1"/>
  <c r="C7" i="21" s="1"/>
  <c r="H42" i="22"/>
  <c r="I42" i="22" s="1"/>
  <c r="E8" i="22" s="1"/>
  <c r="H59" i="9"/>
  <c r="H61" i="9" s="1"/>
  <c r="J9" i="9" s="1"/>
  <c r="U10" i="23"/>
  <c r="R15" i="21" s="1"/>
  <c r="T13" i="23"/>
  <c r="T7" i="23"/>
  <c r="Q12" i="21" s="1"/>
  <c r="H24" i="20"/>
  <c r="H27" i="20" s="1"/>
  <c r="H26" i="20" s="1"/>
  <c r="H23" i="20" s="1"/>
  <c r="H37" i="20" s="1"/>
  <c r="H92" i="20"/>
  <c r="T11" i="20" s="1"/>
  <c r="Q39" i="21" s="1"/>
  <c r="E40" i="14" s="1"/>
  <c r="H75" i="20"/>
  <c r="H114" i="20"/>
  <c r="H113" i="20" s="1"/>
  <c r="H45" i="20"/>
  <c r="H44" i="20" s="1"/>
  <c r="H52" i="20" s="1"/>
  <c r="H122" i="20"/>
  <c r="H105" i="20" s="1"/>
  <c r="H102" i="20" s="1"/>
  <c r="H101" i="20" s="1"/>
  <c r="H100" i="20" s="1"/>
  <c r="H99" i="20" s="1"/>
  <c r="H108" i="20" s="1"/>
  <c r="H87" i="8"/>
  <c r="H134" i="8"/>
  <c r="F12" i="8" s="1"/>
  <c r="H32" i="9"/>
  <c r="G8" i="9" s="1"/>
  <c r="D30" i="21" s="1"/>
  <c r="H115" i="8"/>
  <c r="H60" i="8"/>
  <c r="F9" i="8" s="1"/>
  <c r="C25" i="21" s="1"/>
  <c r="H40" i="8"/>
  <c r="F8" i="8" s="1"/>
  <c r="H59" i="5"/>
  <c r="H71" i="5" s="1"/>
  <c r="H72" i="5" s="1"/>
  <c r="B18" i="14" l="1"/>
  <c r="B17" i="28" s="1"/>
  <c r="F10" i="29"/>
  <c r="J13" i="23"/>
  <c r="K10" i="23"/>
  <c r="H15" i="21" s="1"/>
  <c r="J7" i="23"/>
  <c r="G12" i="21" s="1"/>
  <c r="H17" i="28"/>
  <c r="G17" i="28"/>
  <c r="F17" i="28"/>
  <c r="P17" i="28" s="1"/>
  <c r="I58" i="22"/>
  <c r="E9" i="22" s="1"/>
  <c r="E7" i="22" s="1"/>
  <c r="F8" i="22"/>
  <c r="F10" i="22" s="1"/>
  <c r="G9" i="22"/>
  <c r="C11" i="21"/>
  <c r="B10" i="21"/>
  <c r="H45" i="22"/>
  <c r="P8" i="22" s="1"/>
  <c r="J8" i="22"/>
  <c r="I75" i="20"/>
  <c r="E10" i="20" s="1"/>
  <c r="F10" i="20" s="1"/>
  <c r="V10" i="23"/>
  <c r="S15" i="21" s="1"/>
  <c r="U13" i="23"/>
  <c r="U7" i="23"/>
  <c r="R12" i="21" s="1"/>
  <c r="O11" i="20"/>
  <c r="L39" i="21" s="1"/>
  <c r="J11" i="20"/>
  <c r="G39" i="21" s="1"/>
  <c r="I92" i="20"/>
  <c r="E11" i="20" s="1"/>
  <c r="B39" i="21" s="1"/>
  <c r="C40" i="14" s="1"/>
  <c r="H124" i="20"/>
  <c r="E13" i="20" s="1"/>
  <c r="I52" i="20"/>
  <c r="E9" i="20" s="1"/>
  <c r="T9" i="20"/>
  <c r="O9" i="20"/>
  <c r="J9" i="20"/>
  <c r="X9" i="20"/>
  <c r="F12" i="20"/>
  <c r="C40" i="21" s="1"/>
  <c r="E12" i="20"/>
  <c r="G12" i="20"/>
  <c r="F8" i="20"/>
  <c r="I37" i="20"/>
  <c r="E8" i="20" s="1"/>
  <c r="H135" i="8"/>
  <c r="G12" i="8"/>
  <c r="C28" i="21"/>
  <c r="C24" i="21"/>
  <c r="I134" i="8"/>
  <c r="E12" i="8" s="1"/>
  <c r="G9" i="8"/>
  <c r="D25" i="21" s="1"/>
  <c r="F8" i="9"/>
  <c r="C30" i="21" s="1"/>
  <c r="K8" i="9"/>
  <c r="H30" i="21" s="1"/>
  <c r="J8" i="9"/>
  <c r="G30" i="21" s="1"/>
  <c r="H8" i="9"/>
  <c r="E30" i="21" s="1"/>
  <c r="I8" i="9"/>
  <c r="F30" i="21" s="1"/>
  <c r="W91" i="8"/>
  <c r="T10" i="8" s="1"/>
  <c r="Q26" i="21" s="1"/>
  <c r="O91" i="8"/>
  <c r="L10" i="8" s="1"/>
  <c r="I26" i="21" s="1"/>
  <c r="N91" i="8"/>
  <c r="K10" i="8" s="1"/>
  <c r="H26" i="21" s="1"/>
  <c r="T91" i="8"/>
  <c r="Q10" i="8" s="1"/>
  <c r="N26" i="21" s="1"/>
  <c r="M91" i="8"/>
  <c r="J10" i="8" s="1"/>
  <c r="G26" i="21" s="1"/>
  <c r="S91" i="8"/>
  <c r="P10" i="8" s="1"/>
  <c r="M26" i="21" s="1"/>
  <c r="J91" i="8"/>
  <c r="G10" i="8" s="1"/>
  <c r="D26" i="21" s="1"/>
  <c r="L91" i="8"/>
  <c r="I10" i="8" s="1"/>
  <c r="F26" i="21" s="1"/>
  <c r="R91" i="8"/>
  <c r="O10" i="8" s="1"/>
  <c r="L26" i="21" s="1"/>
  <c r="X91" i="8"/>
  <c r="U10" i="8" s="1"/>
  <c r="R26" i="21" s="1"/>
  <c r="Y91" i="8"/>
  <c r="V10" i="8" s="1"/>
  <c r="S26" i="21" s="1"/>
  <c r="Q91" i="8"/>
  <c r="N10" i="8" s="1"/>
  <c r="K26" i="21" s="1"/>
  <c r="AA91" i="8"/>
  <c r="X10" i="8" s="1"/>
  <c r="U26" i="21" s="1"/>
  <c r="K91" i="8"/>
  <c r="H10" i="8" s="1"/>
  <c r="E26" i="21" s="1"/>
  <c r="P91" i="8"/>
  <c r="M10" i="8" s="1"/>
  <c r="J26" i="21" s="1"/>
  <c r="Z91" i="8"/>
  <c r="W10" i="8" s="1"/>
  <c r="T26" i="21" s="1"/>
  <c r="V91" i="8"/>
  <c r="S10" i="8" s="1"/>
  <c r="P26" i="21" s="1"/>
  <c r="U91" i="8"/>
  <c r="R10" i="8" s="1"/>
  <c r="O26" i="21" s="1"/>
  <c r="I91" i="8"/>
  <c r="F10" i="8" s="1"/>
  <c r="C26" i="21" s="1"/>
  <c r="I32" i="9"/>
  <c r="E8" i="9" s="1"/>
  <c r="K8" i="5"/>
  <c r="H7" i="21" s="1"/>
  <c r="G11" i="8"/>
  <c r="D27" i="21" s="1"/>
  <c r="F11" i="8"/>
  <c r="C27" i="21" s="1"/>
  <c r="F9" i="9"/>
  <c r="C31" i="21" s="1"/>
  <c r="I59" i="9"/>
  <c r="I115" i="8"/>
  <c r="H60" i="9"/>
  <c r="G8" i="5"/>
  <c r="D7" i="21" s="1"/>
  <c r="I87" i="8"/>
  <c r="I60" i="8"/>
  <c r="E9" i="8" s="1"/>
  <c r="I40" i="8"/>
  <c r="E8" i="8" s="1"/>
  <c r="G8" i="8"/>
  <c r="G9" i="5"/>
  <c r="D8" i="21" s="1"/>
  <c r="F9" i="5"/>
  <c r="C8" i="21" s="1"/>
  <c r="I71" i="5"/>
  <c r="O17" i="28" l="1"/>
  <c r="M17" i="28"/>
  <c r="N17" i="28"/>
  <c r="K7" i="23"/>
  <c r="H12" i="21" s="1"/>
  <c r="L10" i="23"/>
  <c r="I15" i="21" s="1"/>
  <c r="K13" i="23"/>
  <c r="B11" i="21"/>
  <c r="E10" i="22"/>
  <c r="C10" i="21"/>
  <c r="F7" i="22"/>
  <c r="C9" i="21" s="1"/>
  <c r="G8" i="22"/>
  <c r="D10" i="21" s="1"/>
  <c r="K8" i="22"/>
  <c r="G10" i="21"/>
  <c r="B9" i="21"/>
  <c r="H9" i="22"/>
  <c r="D11" i="21"/>
  <c r="Q8" i="22"/>
  <c r="M10" i="21"/>
  <c r="B38" i="21"/>
  <c r="D40" i="14"/>
  <c r="D27" i="14"/>
  <c r="J10" i="20"/>
  <c r="J14" i="20" s="1"/>
  <c r="C38" i="21"/>
  <c r="E27" i="14"/>
  <c r="E9" i="5"/>
  <c r="E9" i="9"/>
  <c r="E7" i="9" s="1"/>
  <c r="B29" i="21" s="1"/>
  <c r="E8" i="5"/>
  <c r="B7" i="21" s="1"/>
  <c r="E11" i="8"/>
  <c r="B27" i="21" s="1"/>
  <c r="W10" i="23"/>
  <c r="T15" i="21" s="1"/>
  <c r="V7" i="23"/>
  <c r="S12" i="21" s="1"/>
  <c r="V13" i="23"/>
  <c r="F13" i="20"/>
  <c r="F7" i="20" s="1"/>
  <c r="C35" i="21" s="1"/>
  <c r="G13" i="20"/>
  <c r="D41" i="21" s="1"/>
  <c r="Y11" i="20"/>
  <c r="V39" i="21" s="1"/>
  <c r="P8" i="20"/>
  <c r="K14" i="20"/>
  <c r="K7" i="20"/>
  <c r="H35" i="21" s="1"/>
  <c r="H36" i="21"/>
  <c r="U37" i="21"/>
  <c r="C36" i="21"/>
  <c r="D40" i="21"/>
  <c r="G37" i="21"/>
  <c r="B40" i="21"/>
  <c r="Y12" i="20"/>
  <c r="V40" i="21" s="1"/>
  <c r="L37" i="21"/>
  <c r="O14" i="20"/>
  <c r="O7" i="20"/>
  <c r="L35" i="21" s="1"/>
  <c r="Q37" i="21"/>
  <c r="T7" i="20"/>
  <c r="Q35" i="21" s="1"/>
  <c r="T14" i="20"/>
  <c r="B37" i="21"/>
  <c r="C38" i="14" s="1"/>
  <c r="Y9" i="20"/>
  <c r="V37" i="21" s="1"/>
  <c r="E14" i="20"/>
  <c r="B36" i="21"/>
  <c r="E7" i="20"/>
  <c r="B41" i="21"/>
  <c r="F13" i="8"/>
  <c r="B24" i="21"/>
  <c r="F7" i="8"/>
  <c r="C23" i="21" s="1"/>
  <c r="G7" i="8"/>
  <c r="D23" i="21" s="1"/>
  <c r="G13" i="8"/>
  <c r="D24" i="21"/>
  <c r="C31" i="14"/>
  <c r="B28" i="21"/>
  <c r="K12" i="8"/>
  <c r="D28" i="21"/>
  <c r="G9" i="9"/>
  <c r="G10" i="9" s="1"/>
  <c r="H11" i="8"/>
  <c r="E27" i="21" s="1"/>
  <c r="H9" i="8"/>
  <c r="E25" i="21" s="1"/>
  <c r="L8" i="9"/>
  <c r="I30" i="21" s="1"/>
  <c r="H9" i="5"/>
  <c r="E8" i="21" s="1"/>
  <c r="F10" i="9"/>
  <c r="F7" i="9"/>
  <c r="C29" i="21" s="1"/>
  <c r="F10" i="5"/>
  <c r="B25" i="21"/>
  <c r="E10" i="8"/>
  <c r="B26" i="21" s="1"/>
  <c r="C27" i="14" s="1"/>
  <c r="H8" i="8"/>
  <c r="F7" i="5"/>
  <c r="C6" i="21" s="1"/>
  <c r="G10" i="5"/>
  <c r="H8" i="5"/>
  <c r="E7" i="21" s="1"/>
  <c r="G7" i="5"/>
  <c r="D6" i="21" s="1"/>
  <c r="B38" i="14" l="1"/>
  <c r="B37" i="28" s="1"/>
  <c r="F24" i="29"/>
  <c r="B40" i="14"/>
  <c r="B39" i="28" s="1"/>
  <c r="F26" i="29"/>
  <c r="B41" i="14"/>
  <c r="B40" i="28" s="1"/>
  <c r="F27" i="29"/>
  <c r="N10" i="20"/>
  <c r="K38" i="21" s="1"/>
  <c r="M10" i="23"/>
  <c r="J15" i="21" s="1"/>
  <c r="L7" i="23"/>
  <c r="I12" i="21" s="1"/>
  <c r="L13" i="23"/>
  <c r="G10" i="22"/>
  <c r="G7" i="22"/>
  <c r="D9" i="21" s="1"/>
  <c r="H8" i="22"/>
  <c r="E10" i="21" s="1"/>
  <c r="C11" i="14" s="1"/>
  <c r="C39" i="14"/>
  <c r="E10" i="9"/>
  <c r="G38" i="21"/>
  <c r="J7" i="20"/>
  <c r="G35" i="21" s="1"/>
  <c r="C37" i="14"/>
  <c r="R8" i="22"/>
  <c r="N10" i="21"/>
  <c r="H10" i="21"/>
  <c r="L8" i="22"/>
  <c r="I9" i="22"/>
  <c r="E11" i="21"/>
  <c r="C12" i="14" s="1"/>
  <c r="C8" i="14"/>
  <c r="E10" i="5"/>
  <c r="B31" i="21"/>
  <c r="C26" i="14"/>
  <c r="B8" i="21"/>
  <c r="C9" i="14" s="1"/>
  <c r="F40" i="28"/>
  <c r="H40" i="28"/>
  <c r="G40" i="28"/>
  <c r="E7" i="5"/>
  <c r="B6" i="21" s="1"/>
  <c r="C41" i="14"/>
  <c r="H37" i="28"/>
  <c r="G37" i="28"/>
  <c r="F37" i="28"/>
  <c r="E38" i="14"/>
  <c r="D38" i="14"/>
  <c r="F39" i="28"/>
  <c r="H39" i="28"/>
  <c r="G39" i="28"/>
  <c r="C29" i="14"/>
  <c r="C28" i="14"/>
  <c r="X10" i="23"/>
  <c r="U15" i="21" s="1"/>
  <c r="W7" i="23"/>
  <c r="T12" i="21" s="1"/>
  <c r="W13" i="23"/>
  <c r="N10" i="23"/>
  <c r="K15" i="21" s="1"/>
  <c r="G14" i="20"/>
  <c r="G7" i="20"/>
  <c r="D35" i="21" s="1"/>
  <c r="C41" i="21"/>
  <c r="C42" i="14" s="1"/>
  <c r="F14" i="20"/>
  <c r="Y13" i="20"/>
  <c r="V41" i="21" s="1"/>
  <c r="B35" i="21"/>
  <c r="M36" i="21"/>
  <c r="D37" i="14" s="1"/>
  <c r="P14" i="20"/>
  <c r="P7" i="20"/>
  <c r="M35" i="21" s="1"/>
  <c r="U8" i="20"/>
  <c r="C42" i="21"/>
  <c r="E7" i="8"/>
  <c r="B23" i="21" s="1"/>
  <c r="H7" i="8"/>
  <c r="E23" i="21" s="1"/>
  <c r="E24" i="21"/>
  <c r="C25" i="14" s="1"/>
  <c r="H13" i="8"/>
  <c r="H28" i="21"/>
  <c r="O12" i="8"/>
  <c r="E13" i="8"/>
  <c r="G7" i="9"/>
  <c r="D29" i="21" s="1"/>
  <c r="D31" i="21"/>
  <c r="M8" i="9"/>
  <c r="J30" i="21" s="1"/>
  <c r="I11" i="8"/>
  <c r="F27" i="21" s="1"/>
  <c r="I9" i="8"/>
  <c r="F25" i="21" s="1"/>
  <c r="H9" i="9"/>
  <c r="E31" i="21" s="1"/>
  <c r="Y10" i="8"/>
  <c r="V26" i="21" s="1"/>
  <c r="I9" i="5"/>
  <c r="F8" i="21" s="1"/>
  <c r="H10" i="5"/>
  <c r="I8" i="8"/>
  <c r="I8" i="5"/>
  <c r="F7" i="21" s="1"/>
  <c r="H7" i="5"/>
  <c r="E6" i="21" s="1"/>
  <c r="B42" i="14" l="1"/>
  <c r="B41" i="28" s="1"/>
  <c r="F28" i="29"/>
  <c r="B27" i="14"/>
  <c r="B26" i="28" s="1"/>
  <c r="F16" i="29"/>
  <c r="M7" i="23"/>
  <c r="J12" i="21" s="1"/>
  <c r="S10" i="20"/>
  <c r="X10" i="20" s="1"/>
  <c r="Y10" i="20" s="1"/>
  <c r="V38" i="21" s="1"/>
  <c r="N7" i="20"/>
  <c r="K35" i="21" s="1"/>
  <c r="D36" i="14" s="1"/>
  <c r="N14" i="20"/>
  <c r="M13" i="23"/>
  <c r="H7" i="22"/>
  <c r="E9" i="21" s="1"/>
  <c r="C10" i="14" s="1"/>
  <c r="I8" i="22"/>
  <c r="I10" i="22" s="1"/>
  <c r="H10" i="22"/>
  <c r="D39" i="14"/>
  <c r="J9" i="22"/>
  <c r="F11" i="21"/>
  <c r="I10" i="21"/>
  <c r="M8" i="22"/>
  <c r="S8" i="22"/>
  <c r="O10" i="21"/>
  <c r="C32" i="14"/>
  <c r="C7" i="14"/>
  <c r="F41" i="28"/>
  <c r="G41" i="28"/>
  <c r="H41" i="28"/>
  <c r="C36" i="14"/>
  <c r="N40" i="28"/>
  <c r="O40" i="28"/>
  <c r="P40" i="28"/>
  <c r="M40" i="28"/>
  <c r="N39" i="28"/>
  <c r="M39" i="28"/>
  <c r="O39" i="28"/>
  <c r="P39" i="28"/>
  <c r="P37" i="28"/>
  <c r="M37" i="28"/>
  <c r="N37" i="28"/>
  <c r="O37" i="28"/>
  <c r="F26" i="28"/>
  <c r="H26" i="28"/>
  <c r="G26" i="28"/>
  <c r="C24" i="14"/>
  <c r="E16" i="14"/>
  <c r="X7" i="23"/>
  <c r="X13" i="23"/>
  <c r="O10" i="23"/>
  <c r="N13" i="23"/>
  <c r="N7" i="23"/>
  <c r="K12" i="21" s="1"/>
  <c r="B42" i="21"/>
  <c r="R36" i="21"/>
  <c r="E37" i="14" s="1"/>
  <c r="U14" i="20"/>
  <c r="U7" i="20"/>
  <c r="R35" i="21" s="1"/>
  <c r="Y8" i="20"/>
  <c r="F24" i="21"/>
  <c r="I7" i="8"/>
  <c r="F23" i="21" s="1"/>
  <c r="I13" i="8"/>
  <c r="D42" i="21"/>
  <c r="L28" i="21"/>
  <c r="D29" i="14" s="1"/>
  <c r="S12" i="8"/>
  <c r="N8" i="9"/>
  <c r="K30" i="21" s="1"/>
  <c r="I9" i="9"/>
  <c r="F31" i="21" s="1"/>
  <c r="H7" i="9"/>
  <c r="E29" i="21" s="1"/>
  <c r="C30" i="14" s="1"/>
  <c r="H10" i="9"/>
  <c r="J9" i="8"/>
  <c r="G25" i="21" s="1"/>
  <c r="J11" i="8"/>
  <c r="G27" i="21" s="1"/>
  <c r="J9" i="5"/>
  <c r="G8" i="21" s="1"/>
  <c r="I10" i="5"/>
  <c r="J8" i="8"/>
  <c r="J8" i="5"/>
  <c r="G7" i="21" s="1"/>
  <c r="I7" i="5"/>
  <c r="F6" i="21" s="1"/>
  <c r="B39" i="14" l="1"/>
  <c r="B38" i="28" s="1"/>
  <c r="F25" i="29"/>
  <c r="S14" i="20"/>
  <c r="P38" i="21"/>
  <c r="S7" i="20"/>
  <c r="P35" i="21" s="1"/>
  <c r="F10" i="21"/>
  <c r="I7" i="22"/>
  <c r="F9" i="21" s="1"/>
  <c r="Y10" i="23"/>
  <c r="V15" i="21" s="1"/>
  <c r="L15" i="21"/>
  <c r="D16" i="14" s="1"/>
  <c r="U12" i="21"/>
  <c r="E13" i="14" s="1"/>
  <c r="P10" i="21"/>
  <c r="T8" i="22"/>
  <c r="J10" i="21"/>
  <c r="N8" i="22"/>
  <c r="K9" i="22"/>
  <c r="G11" i="21"/>
  <c r="J7" i="22"/>
  <c r="G9" i="21" s="1"/>
  <c r="J10" i="22"/>
  <c r="M41" i="28"/>
  <c r="N41" i="28"/>
  <c r="O41" i="28"/>
  <c r="P41" i="28"/>
  <c r="O26" i="28"/>
  <c r="P26" i="28"/>
  <c r="M26" i="28"/>
  <c r="N26" i="28"/>
  <c r="F38" i="28"/>
  <c r="O13" i="23"/>
  <c r="O7" i="23"/>
  <c r="L12" i="21" s="1"/>
  <c r="Y14" i="20"/>
  <c r="V36" i="21"/>
  <c r="U38" i="21"/>
  <c r="X14" i="20"/>
  <c r="X7" i="20"/>
  <c r="U35" i="21" s="1"/>
  <c r="P28" i="21"/>
  <c r="W12" i="8"/>
  <c r="T28" i="21" s="1"/>
  <c r="G24" i="21"/>
  <c r="J7" i="8"/>
  <c r="G23" i="21" s="1"/>
  <c r="J13" i="8"/>
  <c r="E42" i="21"/>
  <c r="C43" i="14" s="1"/>
  <c r="O8" i="9"/>
  <c r="L30" i="21" s="1"/>
  <c r="K11" i="8"/>
  <c r="H27" i="21" s="1"/>
  <c r="G31" i="21"/>
  <c r="I7" i="9"/>
  <c r="F29" i="21" s="1"/>
  <c r="I10" i="9"/>
  <c r="K9" i="8"/>
  <c r="H25" i="21" s="1"/>
  <c r="J10" i="5"/>
  <c r="K9" i="5"/>
  <c r="H8" i="21" s="1"/>
  <c r="K8" i="8"/>
  <c r="J7" i="5"/>
  <c r="G6" i="21" s="1"/>
  <c r="B16" i="14" l="1"/>
  <c r="B15" i="28" s="1"/>
  <c r="F8" i="29"/>
  <c r="B37" i="14"/>
  <c r="B36" i="28" s="1"/>
  <c r="F36" i="28" s="1"/>
  <c r="F23" i="29"/>
  <c r="Y13" i="23"/>
  <c r="E36" i="14"/>
  <c r="E39" i="14"/>
  <c r="Y7" i="23"/>
  <c r="V12" i="21" s="1"/>
  <c r="B13" i="14" s="1"/>
  <c r="B12" i="28" s="1"/>
  <c r="L9" i="22"/>
  <c r="H11" i="21"/>
  <c r="K7" i="22"/>
  <c r="H9" i="21" s="1"/>
  <c r="K10" i="22"/>
  <c r="U8" i="22"/>
  <c r="Q10" i="21"/>
  <c r="K10" i="21"/>
  <c r="O8" i="22"/>
  <c r="G36" i="28"/>
  <c r="E29" i="14"/>
  <c r="D13" i="14"/>
  <c r="F15" i="28"/>
  <c r="F12" i="28" s="1"/>
  <c r="G15" i="28"/>
  <c r="G12" i="28" s="1"/>
  <c r="P38" i="28"/>
  <c r="O38" i="28"/>
  <c r="M38" i="28"/>
  <c r="N38" i="28"/>
  <c r="G38" i="28"/>
  <c r="H38" i="28"/>
  <c r="H15" i="28"/>
  <c r="H12" i="28" s="1"/>
  <c r="Y7" i="20"/>
  <c r="V35" i="21" s="1"/>
  <c r="B36" i="14" s="1"/>
  <c r="B35" i="28" s="1"/>
  <c r="F42" i="21"/>
  <c r="H24" i="21"/>
  <c r="K7" i="8"/>
  <c r="H23" i="21" s="1"/>
  <c r="K13" i="8"/>
  <c r="Y12" i="8"/>
  <c r="V28" i="21" s="1"/>
  <c r="P8" i="9"/>
  <c r="M30" i="21" s="1"/>
  <c r="D31" i="14" s="1"/>
  <c r="L11" i="8"/>
  <c r="I27" i="21" s="1"/>
  <c r="L9" i="8"/>
  <c r="I25" i="21" s="1"/>
  <c r="K9" i="9"/>
  <c r="H31" i="21" s="1"/>
  <c r="J7" i="9"/>
  <c r="G29" i="21" s="1"/>
  <c r="J10" i="9"/>
  <c r="L9" i="5"/>
  <c r="I8" i="21" s="1"/>
  <c r="L8" i="8"/>
  <c r="K10" i="5"/>
  <c r="L8" i="5"/>
  <c r="I7" i="21" s="1"/>
  <c r="K7" i="5"/>
  <c r="H6" i="21" s="1"/>
  <c r="H36" i="28" l="1"/>
  <c r="B29" i="14"/>
  <c r="B28" i="28" s="1"/>
  <c r="F18" i="29"/>
  <c r="V8" i="22"/>
  <c r="R10" i="21"/>
  <c r="M9" i="22"/>
  <c r="I11" i="21"/>
  <c r="L10" i="22"/>
  <c r="L7" i="22"/>
  <c r="H35" i="28"/>
  <c r="L10" i="21"/>
  <c r="D11" i="14" s="1"/>
  <c r="M36" i="28"/>
  <c r="M35" i="28" s="1"/>
  <c r="P36" i="28"/>
  <c r="P35" i="28" s="1"/>
  <c r="N36" i="28"/>
  <c r="N35" i="28" s="1"/>
  <c r="O36" i="28"/>
  <c r="O35" i="28" s="1"/>
  <c r="F35" i="28"/>
  <c r="C35" i="28" s="1"/>
  <c r="G35" i="28"/>
  <c r="D12" i="28"/>
  <c r="E12" i="28"/>
  <c r="C12" i="28"/>
  <c r="M15" i="28"/>
  <c r="M12" i="28" s="1"/>
  <c r="I12" i="28" s="1"/>
  <c r="N15" i="28"/>
  <c r="N12" i="28" s="1"/>
  <c r="J12" i="28" s="1"/>
  <c r="O15" i="28"/>
  <c r="O12" i="28" s="1"/>
  <c r="K12" i="28" s="1"/>
  <c r="P15" i="28"/>
  <c r="P12" i="28" s="1"/>
  <c r="L12" i="28" s="1"/>
  <c r="I24" i="21"/>
  <c r="L13" i="8"/>
  <c r="L7" i="8"/>
  <c r="I23" i="21" s="1"/>
  <c r="G42" i="21"/>
  <c r="Q8" i="9"/>
  <c r="N30" i="21" s="1"/>
  <c r="M9" i="8"/>
  <c r="J25" i="21" s="1"/>
  <c r="L9" i="9"/>
  <c r="I31" i="21" s="1"/>
  <c r="K7" i="9"/>
  <c r="H29" i="21" s="1"/>
  <c r="K10" i="9"/>
  <c r="M11" i="8"/>
  <c r="J27" i="21" s="1"/>
  <c r="M9" i="5"/>
  <c r="J8" i="21" s="1"/>
  <c r="L10" i="5"/>
  <c r="M8" i="8"/>
  <c r="M8" i="5"/>
  <c r="J7" i="21" s="1"/>
  <c r="L7" i="5"/>
  <c r="I6" i="21" s="1"/>
  <c r="N9" i="22" l="1"/>
  <c r="J11" i="21"/>
  <c r="M7" i="22"/>
  <c r="J9" i="21" s="1"/>
  <c r="M10" i="22"/>
  <c r="W8" i="22"/>
  <c r="S10" i="21"/>
  <c r="I9" i="21"/>
  <c r="I35" i="28"/>
  <c r="K35" i="28"/>
  <c r="J35" i="28"/>
  <c r="L35" i="28"/>
  <c r="E35" i="28"/>
  <c r="D35" i="28"/>
  <c r="G28" i="28"/>
  <c r="H28" i="28"/>
  <c r="F28" i="28"/>
  <c r="H42" i="21"/>
  <c r="M13" i="8"/>
  <c r="J24" i="21"/>
  <c r="M7" i="8"/>
  <c r="J23" i="21" s="1"/>
  <c r="R8" i="9"/>
  <c r="O30" i="21" s="1"/>
  <c r="M9" i="9"/>
  <c r="J31" i="21" s="1"/>
  <c r="L10" i="9"/>
  <c r="L7" i="9"/>
  <c r="I29" i="21" s="1"/>
  <c r="N11" i="8"/>
  <c r="K27" i="21" s="1"/>
  <c r="N9" i="8"/>
  <c r="K25" i="21" s="1"/>
  <c r="N9" i="5"/>
  <c r="K8" i="21" s="1"/>
  <c r="N8" i="8"/>
  <c r="M10" i="5"/>
  <c r="N8" i="5"/>
  <c r="K7" i="21" s="1"/>
  <c r="M7" i="5"/>
  <c r="J6" i="21" s="1"/>
  <c r="T10" i="21" l="1"/>
  <c r="X8" i="22"/>
  <c r="O9" i="22"/>
  <c r="K11" i="21"/>
  <c r="N7" i="22"/>
  <c r="K9" i="21" s="1"/>
  <c r="N10" i="22"/>
  <c r="M28" i="28"/>
  <c r="N28" i="28"/>
  <c r="O28" i="28"/>
  <c r="P28" i="28"/>
  <c r="I42" i="21"/>
  <c r="N13" i="8"/>
  <c r="N7" i="8"/>
  <c r="K23" i="21" s="1"/>
  <c r="K24" i="21"/>
  <c r="S8" i="9"/>
  <c r="P30" i="21" s="1"/>
  <c r="O11" i="8"/>
  <c r="L27" i="21" s="1"/>
  <c r="O9" i="8"/>
  <c r="L25" i="21" s="1"/>
  <c r="N9" i="9"/>
  <c r="K31" i="21" s="1"/>
  <c r="M7" i="9"/>
  <c r="J29" i="21" s="1"/>
  <c r="M10" i="9"/>
  <c r="N10" i="5"/>
  <c r="O9" i="5"/>
  <c r="L8" i="21" s="1"/>
  <c r="O8" i="8"/>
  <c r="O8" i="5"/>
  <c r="L7" i="21" s="1"/>
  <c r="N7" i="5"/>
  <c r="K6" i="21" s="1"/>
  <c r="U10" i="21" l="1"/>
  <c r="E11" i="14" s="1"/>
  <c r="Y8" i="22"/>
  <c r="P9" i="22"/>
  <c r="L11" i="21"/>
  <c r="O10" i="22"/>
  <c r="O7" i="22"/>
  <c r="L9" i="21" s="1"/>
  <c r="O7" i="8"/>
  <c r="L23" i="21" s="1"/>
  <c r="O13" i="8"/>
  <c r="L24" i="21"/>
  <c r="T8" i="9"/>
  <c r="Q30" i="21" s="1"/>
  <c r="J42" i="21"/>
  <c r="O9" i="9"/>
  <c r="L31" i="21" s="1"/>
  <c r="N10" i="9"/>
  <c r="N7" i="9"/>
  <c r="K29" i="21" s="1"/>
  <c r="P11" i="8"/>
  <c r="M27" i="21" s="1"/>
  <c r="D28" i="14" s="1"/>
  <c r="P9" i="8"/>
  <c r="M25" i="21" s="1"/>
  <c r="D26" i="14" s="1"/>
  <c r="P9" i="5"/>
  <c r="M8" i="21" s="1"/>
  <c r="D9" i="14" s="1"/>
  <c r="O10" i="5"/>
  <c r="P8" i="8"/>
  <c r="P8" i="5"/>
  <c r="M7" i="21" s="1"/>
  <c r="D8" i="14" s="1"/>
  <c r="O7" i="5"/>
  <c r="L6" i="21" s="1"/>
  <c r="Q9" i="22" l="1"/>
  <c r="M11" i="21"/>
  <c r="D12" i="14" s="1"/>
  <c r="P7" i="22"/>
  <c r="M9" i="21" s="1"/>
  <c r="D10" i="14" s="1"/>
  <c r="P10" i="22"/>
  <c r="V10" i="21"/>
  <c r="K42" i="21"/>
  <c r="P7" i="8"/>
  <c r="M23" i="21" s="1"/>
  <c r="D24" i="14" s="1"/>
  <c r="M24" i="21"/>
  <c r="D25" i="14" s="1"/>
  <c r="P13" i="8"/>
  <c r="U8" i="9"/>
  <c r="R30" i="21" s="1"/>
  <c r="Q9" i="8"/>
  <c r="N25" i="21" s="1"/>
  <c r="P9" i="9"/>
  <c r="M31" i="21" s="1"/>
  <c r="D32" i="14" s="1"/>
  <c r="O10" i="9"/>
  <c r="O7" i="9"/>
  <c r="L29" i="21" s="1"/>
  <c r="L42" i="21" s="1"/>
  <c r="Q11" i="8"/>
  <c r="N27" i="21" s="1"/>
  <c r="Q9" i="5"/>
  <c r="N8" i="21" s="1"/>
  <c r="P10" i="5"/>
  <c r="Q8" i="8"/>
  <c r="Q8" i="5"/>
  <c r="N7" i="21" s="1"/>
  <c r="P7" i="5"/>
  <c r="M6" i="21" s="1"/>
  <c r="D7" i="14" s="1"/>
  <c r="B11" i="14" l="1"/>
  <c r="B10" i="28" s="1"/>
  <c r="F4" i="29"/>
  <c r="R9" i="22"/>
  <c r="N11" i="21"/>
  <c r="Q10" i="22"/>
  <c r="Q7" i="22"/>
  <c r="N9" i="21" s="1"/>
  <c r="F10" i="28"/>
  <c r="H10" i="28"/>
  <c r="G10" i="28"/>
  <c r="N24" i="21"/>
  <c r="Q7" i="8"/>
  <c r="N23" i="21" s="1"/>
  <c r="Q13" i="8"/>
  <c r="V8" i="9"/>
  <c r="S30" i="21" s="1"/>
  <c r="Q9" i="9"/>
  <c r="N31" i="21" s="1"/>
  <c r="P10" i="9"/>
  <c r="P7" i="9"/>
  <c r="M29" i="21" s="1"/>
  <c r="D30" i="14" s="1"/>
  <c r="R11" i="8"/>
  <c r="O27" i="21" s="1"/>
  <c r="R9" i="8"/>
  <c r="O25" i="21" s="1"/>
  <c r="Q10" i="5"/>
  <c r="R9" i="5"/>
  <c r="O8" i="21" s="1"/>
  <c r="R8" i="8"/>
  <c r="R8" i="5"/>
  <c r="O7" i="21" s="1"/>
  <c r="Q7" i="5"/>
  <c r="N6" i="21" s="1"/>
  <c r="M10" i="28" l="1"/>
  <c r="O10" i="28"/>
  <c r="N10" i="28"/>
  <c r="P10" i="28"/>
  <c r="S9" i="22"/>
  <c r="O11" i="21"/>
  <c r="R10" i="22"/>
  <c r="R7" i="22"/>
  <c r="O9" i="21" s="1"/>
  <c r="W8" i="9"/>
  <c r="T30" i="21" s="1"/>
  <c r="O24" i="21"/>
  <c r="R7" i="8"/>
  <c r="O23" i="21" s="1"/>
  <c r="R13" i="8"/>
  <c r="M42" i="21"/>
  <c r="D43" i="14" s="1"/>
  <c r="S9" i="8"/>
  <c r="P25" i="21" s="1"/>
  <c r="R9" i="9"/>
  <c r="O31" i="21" s="1"/>
  <c r="Q10" i="9"/>
  <c r="Q7" i="9"/>
  <c r="N29" i="21" s="1"/>
  <c r="S11" i="8"/>
  <c r="P27" i="21" s="1"/>
  <c r="S9" i="5"/>
  <c r="P8" i="21" s="1"/>
  <c r="R10" i="5"/>
  <c r="S8" i="8"/>
  <c r="S8" i="5"/>
  <c r="P7" i="21" s="1"/>
  <c r="R7" i="5"/>
  <c r="O6" i="21" s="1"/>
  <c r="T9" i="22" l="1"/>
  <c r="P11" i="21"/>
  <c r="S7" i="22"/>
  <c r="P9" i="21" s="1"/>
  <c r="S10" i="22"/>
  <c r="X8" i="9"/>
  <c r="U30" i="21" s="1"/>
  <c r="E31" i="14" s="1"/>
  <c r="P24" i="21"/>
  <c r="S7" i="8"/>
  <c r="P23" i="21" s="1"/>
  <c r="S13" i="8"/>
  <c r="N42" i="21"/>
  <c r="T11" i="8"/>
  <c r="Q27" i="21" s="1"/>
  <c r="S9" i="9"/>
  <c r="P31" i="21" s="1"/>
  <c r="R7" i="9"/>
  <c r="O29" i="21" s="1"/>
  <c r="O42" i="21" s="1"/>
  <c r="R10" i="9"/>
  <c r="T9" i="8"/>
  <c r="Q25" i="21" s="1"/>
  <c r="S10" i="5"/>
  <c r="T9" i="5"/>
  <c r="Q8" i="21" s="1"/>
  <c r="T8" i="8"/>
  <c r="T8" i="5"/>
  <c r="Q7" i="21" s="1"/>
  <c r="S7" i="5"/>
  <c r="P6" i="21" s="1"/>
  <c r="U9" i="22" l="1"/>
  <c r="Q11" i="21"/>
  <c r="T7" i="22"/>
  <c r="Q9" i="21" s="1"/>
  <c r="T10" i="22"/>
  <c r="Y8" i="9"/>
  <c r="V30" i="21" s="1"/>
  <c r="Q24" i="21"/>
  <c r="T7" i="8"/>
  <c r="Q23" i="21" s="1"/>
  <c r="T13" i="8"/>
  <c r="U11" i="8"/>
  <c r="R27" i="21" s="1"/>
  <c r="U9" i="8"/>
  <c r="R25" i="21" s="1"/>
  <c r="T9" i="9"/>
  <c r="Q31" i="21" s="1"/>
  <c r="S10" i="9"/>
  <c r="S7" i="9"/>
  <c r="P29" i="21" s="1"/>
  <c r="T10" i="5"/>
  <c r="U9" i="5"/>
  <c r="R8" i="21" s="1"/>
  <c r="U8" i="8"/>
  <c r="U8" i="5"/>
  <c r="R7" i="21" s="1"/>
  <c r="T7" i="5"/>
  <c r="Q6" i="21" s="1"/>
  <c r="B31" i="14" l="1"/>
  <c r="B30" i="28" s="1"/>
  <c r="F19" i="29"/>
  <c r="V9" i="22"/>
  <c r="R11" i="21"/>
  <c r="U7" i="22"/>
  <c r="R9" i="21" s="1"/>
  <c r="U10" i="22"/>
  <c r="U13" i="8"/>
  <c r="R24" i="21"/>
  <c r="U7" i="8"/>
  <c r="R23" i="21" s="1"/>
  <c r="P42" i="21"/>
  <c r="V11" i="8"/>
  <c r="S27" i="21" s="1"/>
  <c r="U9" i="9"/>
  <c r="R31" i="21" s="1"/>
  <c r="T7" i="9"/>
  <c r="Q29" i="21" s="1"/>
  <c r="Q42" i="21" s="1"/>
  <c r="T10" i="9"/>
  <c r="V9" i="8"/>
  <c r="S25" i="21" s="1"/>
  <c r="V9" i="5"/>
  <c r="S8" i="21" s="1"/>
  <c r="U10" i="5"/>
  <c r="V8" i="8"/>
  <c r="V8" i="5"/>
  <c r="S7" i="21" s="1"/>
  <c r="U7" i="5"/>
  <c r="R6" i="21" s="1"/>
  <c r="W9" i="22" l="1"/>
  <c r="S11" i="21"/>
  <c r="V7" i="22"/>
  <c r="S9" i="21" s="1"/>
  <c r="V10" i="22"/>
  <c r="F30" i="28"/>
  <c r="G30" i="28"/>
  <c r="H30" i="28"/>
  <c r="V13" i="8"/>
  <c r="S24" i="21"/>
  <c r="V7" i="8"/>
  <c r="S23" i="21" s="1"/>
  <c r="V9" i="9"/>
  <c r="S31" i="21" s="1"/>
  <c r="U7" i="9"/>
  <c r="R29" i="21" s="1"/>
  <c r="R42" i="21" s="1"/>
  <c r="U10" i="9"/>
  <c r="W9" i="8"/>
  <c r="T25" i="21" s="1"/>
  <c r="W11" i="8"/>
  <c r="T27" i="21" s="1"/>
  <c r="V10" i="5"/>
  <c r="W9" i="5"/>
  <c r="T8" i="21" s="1"/>
  <c r="W8" i="8"/>
  <c r="W8" i="5"/>
  <c r="V7" i="5"/>
  <c r="S6" i="21" s="1"/>
  <c r="T11" i="21" l="1"/>
  <c r="X9" i="22"/>
  <c r="W7" i="22"/>
  <c r="T9" i="21" s="1"/>
  <c r="W10" i="22"/>
  <c r="T7" i="21"/>
  <c r="X8" i="5"/>
  <c r="U7" i="21" s="1"/>
  <c r="O30" i="28"/>
  <c r="P30" i="28"/>
  <c r="M30" i="28"/>
  <c r="N30" i="28"/>
  <c r="W7" i="8"/>
  <c r="T23" i="21" s="1"/>
  <c r="W13" i="8"/>
  <c r="T24" i="21"/>
  <c r="U27" i="21"/>
  <c r="E28" i="14" s="1"/>
  <c r="X9" i="8"/>
  <c r="U25" i="21" s="1"/>
  <c r="E26" i="14" s="1"/>
  <c r="W9" i="9"/>
  <c r="T31" i="21" s="1"/>
  <c r="V7" i="9"/>
  <c r="S29" i="21" s="1"/>
  <c r="S42" i="21" s="1"/>
  <c r="V10" i="9"/>
  <c r="X9" i="5"/>
  <c r="U8" i="21" s="1"/>
  <c r="E9" i="14" s="1"/>
  <c r="X8" i="8"/>
  <c r="W7" i="5"/>
  <c r="T6" i="21" s="1"/>
  <c r="W10" i="5"/>
  <c r="Y8" i="5" l="1"/>
  <c r="U11" i="21"/>
  <c r="E12" i="14" s="1"/>
  <c r="Y9" i="22"/>
  <c r="X7" i="22"/>
  <c r="X10" i="22"/>
  <c r="E8" i="14"/>
  <c r="X7" i="8"/>
  <c r="U23" i="21" s="1"/>
  <c r="E24" i="14" s="1"/>
  <c r="U24" i="21"/>
  <c r="E25" i="14" s="1"/>
  <c r="X13" i="8"/>
  <c r="X9" i="9"/>
  <c r="U31" i="21" s="1"/>
  <c r="E32" i="14" s="1"/>
  <c r="W7" i="9"/>
  <c r="T29" i="21" s="1"/>
  <c r="T42" i="21" s="1"/>
  <c r="W10" i="9"/>
  <c r="Y9" i="8"/>
  <c r="V25" i="21" s="1"/>
  <c r="Y11" i="8"/>
  <c r="V27" i="21" s="1"/>
  <c r="X10" i="5"/>
  <c r="X7" i="5"/>
  <c r="U6" i="21" s="1"/>
  <c r="E7" i="14" s="1"/>
  <c r="Y9" i="5"/>
  <c r="V8" i="21" s="1"/>
  <c r="Y8" i="8"/>
  <c r="B28" i="14" l="1"/>
  <c r="B27" i="28" s="1"/>
  <c r="F17" i="29"/>
  <c r="B26" i="14"/>
  <c r="B25" i="28" s="1"/>
  <c r="F15" i="29"/>
  <c r="B9" i="14"/>
  <c r="B8" i="28" s="1"/>
  <c r="F3" i="29"/>
  <c r="V7" i="21"/>
  <c r="U9" i="21"/>
  <c r="E10" i="14" s="1"/>
  <c r="Y7" i="22"/>
  <c r="V9" i="21" s="1"/>
  <c r="B10" i="14" s="1"/>
  <c r="B9" i="28" s="1"/>
  <c r="V11" i="21"/>
  <c r="Y10" i="22"/>
  <c r="V24" i="21"/>
  <c r="Y13" i="8"/>
  <c r="Y7" i="8"/>
  <c r="V23" i="21" s="1"/>
  <c r="B24" i="14" s="1"/>
  <c r="B23" i="28" s="1"/>
  <c r="Y7" i="5"/>
  <c r="V6" i="21" s="1"/>
  <c r="B7" i="14" s="1"/>
  <c r="B6" i="28" s="1"/>
  <c r="Y9" i="9"/>
  <c r="V31" i="21" s="1"/>
  <c r="X7" i="9"/>
  <c r="U29" i="21" s="1"/>
  <c r="E30" i="14" s="1"/>
  <c r="X10" i="9"/>
  <c r="Y10" i="5"/>
  <c r="B25" i="14" l="1"/>
  <c r="B24" i="28" s="1"/>
  <c r="F14" i="29"/>
  <c r="B32" i="14"/>
  <c r="B31" i="28" s="1"/>
  <c r="G31" i="28" s="1"/>
  <c r="G29" i="28" s="1"/>
  <c r="F20" i="29"/>
  <c r="B12" i="14"/>
  <c r="B11" i="28" s="1"/>
  <c r="F11" i="28" s="1"/>
  <c r="F5" i="29"/>
  <c r="B8" i="14"/>
  <c r="B7" i="28" s="1"/>
  <c r="H7" i="28" s="1"/>
  <c r="F2" i="29"/>
  <c r="F29" i="29" s="1"/>
  <c r="F8" i="28"/>
  <c r="G8" i="28"/>
  <c r="H8" i="28"/>
  <c r="H6" i="28" s="1"/>
  <c r="G27" i="28"/>
  <c r="H27" i="28"/>
  <c r="F27" i="28"/>
  <c r="F25" i="28"/>
  <c r="G25" i="28"/>
  <c r="H25" i="28"/>
  <c r="U42" i="21"/>
  <c r="E43" i="14" s="1"/>
  <c r="Y7" i="9"/>
  <c r="V29" i="21" s="1"/>
  <c r="B30" i="14" s="1"/>
  <c r="B29" i="28" s="1"/>
  <c r="Y10" i="9"/>
  <c r="H11" i="28" l="1"/>
  <c r="H9" i="28" s="1"/>
  <c r="E9" i="28" s="1"/>
  <c r="F31" i="28"/>
  <c r="F29" i="28" s="1"/>
  <c r="G11" i="28"/>
  <c r="H31" i="28"/>
  <c r="H29" i="28" s="1"/>
  <c r="G7" i="28"/>
  <c r="F7" i="28"/>
  <c r="M7" i="28" s="1"/>
  <c r="G6" i="28"/>
  <c r="D6" i="28" s="1"/>
  <c r="N7" i="28"/>
  <c r="G9" i="28"/>
  <c r="D9" i="28" s="1"/>
  <c r="M11" i="28"/>
  <c r="M9" i="28" s="1"/>
  <c r="N11" i="28"/>
  <c r="N9" i="28" s="1"/>
  <c r="O11" i="28"/>
  <c r="O9" i="28" s="1"/>
  <c r="P11" i="28"/>
  <c r="P9" i="28" s="1"/>
  <c r="F9" i="28"/>
  <c r="C9" i="28" s="1"/>
  <c r="C29" i="28"/>
  <c r="D29" i="28"/>
  <c r="E6" i="28"/>
  <c r="O31" i="28"/>
  <c r="O29" i="28" s="1"/>
  <c r="K29" i="28" s="1"/>
  <c r="P31" i="28"/>
  <c r="P29" i="28" s="1"/>
  <c r="N31" i="28"/>
  <c r="N29" i="28" s="1"/>
  <c r="M31" i="28"/>
  <c r="M29" i="28" s="1"/>
  <c r="O27" i="28"/>
  <c r="M27" i="28"/>
  <c r="N27" i="28"/>
  <c r="P27" i="28"/>
  <c r="N25" i="28"/>
  <c r="P25" i="28"/>
  <c r="M25" i="28"/>
  <c r="O25" i="28"/>
  <c r="M8" i="28"/>
  <c r="N8" i="28"/>
  <c r="O8" i="28"/>
  <c r="P8" i="28"/>
  <c r="H24" i="28"/>
  <c r="H23" i="28" s="1"/>
  <c r="E23" i="28" s="1"/>
  <c r="G24" i="28"/>
  <c r="G23" i="28" s="1"/>
  <c r="F24" i="28"/>
  <c r="F23" i="28" s="1"/>
  <c r="C23" i="28" s="1"/>
  <c r="V42" i="21"/>
  <c r="B43" i="14" s="1"/>
  <c r="O7" i="28" l="1"/>
  <c r="M6" i="28"/>
  <c r="F6" i="28"/>
  <c r="C6" i="28" s="1"/>
  <c r="P7" i="28"/>
  <c r="O6" i="28"/>
  <c r="N6" i="28"/>
  <c r="J6" i="28" s="1"/>
  <c r="P6" i="28"/>
  <c r="L6" i="28" s="1"/>
  <c r="K6" i="28"/>
  <c r="I6" i="28"/>
  <c r="F14" i="14"/>
  <c r="F22" i="14"/>
  <c r="F30" i="14"/>
  <c r="F38" i="14"/>
  <c r="F29" i="14"/>
  <c r="F15" i="14"/>
  <c r="F23" i="14"/>
  <c r="F31" i="14"/>
  <c r="F39" i="14"/>
  <c r="F13" i="14"/>
  <c r="F16" i="14"/>
  <c r="F24" i="14"/>
  <c r="F32" i="14"/>
  <c r="F40" i="14"/>
  <c r="F21" i="14"/>
  <c r="F9" i="14"/>
  <c r="F17" i="14"/>
  <c r="F25" i="14"/>
  <c r="F33" i="14"/>
  <c r="F41" i="14"/>
  <c r="F36" i="14"/>
  <c r="F37" i="14"/>
  <c r="F10" i="14"/>
  <c r="F18" i="14"/>
  <c r="F26" i="14"/>
  <c r="F34" i="14"/>
  <c r="F42" i="14"/>
  <c r="F20" i="14"/>
  <c r="F11" i="14"/>
  <c r="F19" i="14"/>
  <c r="F27" i="14"/>
  <c r="F35" i="14"/>
  <c r="F28" i="14"/>
  <c r="F12" i="14"/>
  <c r="F8" i="14"/>
  <c r="F7" i="14"/>
  <c r="F43" i="14"/>
  <c r="G42" i="28"/>
  <c r="G43" i="28" s="1"/>
  <c r="J9" i="28"/>
  <c r="K9" i="28"/>
  <c r="I9" i="28"/>
  <c r="L9" i="28"/>
  <c r="I29" i="28"/>
  <c r="B42" i="28"/>
  <c r="C44" i="14"/>
  <c r="D44" i="14"/>
  <c r="E44" i="14"/>
  <c r="F44" i="14" s="1"/>
  <c r="F42" i="28"/>
  <c r="F43" i="28" s="1"/>
  <c r="H42" i="28"/>
  <c r="H43" i="28" s="1"/>
  <c r="D23" i="28"/>
  <c r="M24" i="28"/>
  <c r="M23" i="28" s="1"/>
  <c r="I23" i="28" s="1"/>
  <c r="N24" i="28"/>
  <c r="N23" i="28" s="1"/>
  <c r="J23" i="28" s="1"/>
  <c r="O24" i="28"/>
  <c r="O23" i="28" s="1"/>
  <c r="K23" i="28" s="1"/>
  <c r="P24" i="28"/>
  <c r="P23" i="28" s="1"/>
  <c r="L23" i="28" s="1"/>
  <c r="W11" i="21"/>
  <c r="W16" i="21"/>
  <c r="W17" i="21"/>
  <c r="W29" i="21"/>
  <c r="W41" i="21"/>
  <c r="W25" i="21"/>
  <c r="W27" i="21"/>
  <c r="W8" i="21"/>
  <c r="W7" i="21"/>
  <c r="W10" i="21"/>
  <c r="W9" i="21"/>
  <c r="W34" i="21"/>
  <c r="W37" i="21"/>
  <c r="W26" i="21"/>
  <c r="W24" i="21"/>
  <c r="W13" i="21"/>
  <c r="W18" i="21"/>
  <c r="W6" i="21"/>
  <c r="W23" i="21"/>
  <c r="W12" i="21"/>
  <c r="W22" i="21"/>
  <c r="W21" i="21"/>
  <c r="W33" i="21"/>
  <c r="W40" i="21"/>
  <c r="W35" i="21"/>
  <c r="W32" i="21"/>
  <c r="W15" i="21"/>
  <c r="W19" i="21"/>
  <c r="W36" i="21"/>
  <c r="W39" i="21"/>
  <c r="W14" i="21"/>
  <c r="W20" i="21"/>
  <c r="W30" i="21"/>
  <c r="W31" i="21"/>
  <c r="D42" i="28" l="1"/>
  <c r="E42" i="28"/>
  <c r="C42" i="28"/>
  <c r="N42" i="28"/>
  <c r="O42" i="28"/>
  <c r="P42" i="28"/>
  <c r="M42" i="28"/>
  <c r="M43" i="28" s="1"/>
  <c r="W42" i="21"/>
  <c r="L42" i="28" l="1"/>
  <c r="P43" i="28"/>
  <c r="K42" i="28"/>
  <c r="O43" i="28"/>
  <c r="J42" i="28"/>
  <c r="N43" i="28"/>
  <c r="I42" i="28"/>
</calcChain>
</file>

<file path=xl/sharedStrings.xml><?xml version="1.0" encoding="utf-8"?>
<sst xmlns="http://schemas.openxmlformats.org/spreadsheetml/2006/main" count="2361" uniqueCount="993">
  <si>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</si>
  <si>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</si>
  <si>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</si>
  <si>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</si>
  <si>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</si>
  <si>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Glosario de Categoría de Costos cárnicos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</si>
  <si>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</si>
  <si>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</si>
  <si>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</si>
  <si>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</si>
  <si>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</si>
  <si>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</si>
  <si>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</si>
  <si>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r>
      <t>Se relacionan en el orden del portafolio de programas y proyect</t>
    </r>
    <r>
      <rPr>
        <sz val="12"/>
        <color theme="1"/>
        <rFont val="Arial"/>
        <family val="2"/>
      </rPr>
      <t xml:space="preserve">os, los </t>
    </r>
    <r>
      <rPr>
        <b/>
        <sz val="11"/>
        <color theme="1"/>
        <rFont val="Arial"/>
        <family val="2"/>
      </rPr>
      <t>12 programas y 32 proyectos.</t>
    </r>
  </si>
  <si>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</si>
  <si>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</si>
  <si>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</si>
  <si>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</si>
  <si>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</si>
  <si>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</si>
  <si>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</si>
  <si>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</si>
  <si>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</si>
  <si>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</si>
  <si>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</si>
  <si>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</si>
  <si>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</si>
  <si>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</si>
  <si>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</si>
  <si>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Proyecto</t>
  </si>
  <si>
    <t>Programación</t>
  </si>
  <si>
    <t>Años en los cuales se ejecutaría cada proyecto</t>
  </si>
  <si>
    <t>0, 1, 2, …20</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</si>
  <si>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</si>
  <si>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</si>
  <si>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</si>
  <si>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</si>
  <si>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</si>
  <si>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</si>
  <si>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</si>
  <si>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</si>
  <si>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</si>
  <si>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</si>
  <si>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</si>
  <si>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</si>
  <si>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</si>
  <si>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</si>
  <si>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</si>
  <si>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</si>
  <si>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</si>
  <si>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</si>
  <si>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</si>
  <si>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</si>
  <si>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</si>
  <si>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Fuente: Elaboración Propia</t>
  </si>
  <si>
    <t>Valor</t>
  </si>
  <si>
    <t>Unidad</t>
  </si>
  <si>
    <t>Rodamiento</t>
  </si>
  <si>
    <t>Promedio</t>
  </si>
  <si>
    <t>Cantidad</t>
  </si>
  <si>
    <t>Pautas redes sociales</t>
  </si>
  <si>
    <t>Plan de medios radial regional</t>
  </si>
  <si>
    <t>Pautas en redes sociales</t>
  </si>
  <si>
    <r>
      <t xml:space="preserve">En esta hoja se vincula la estimación de costos realizada para cada Programa (P1 , P2….hasta </t>
    </r>
    <r>
      <rPr>
        <sz val="11"/>
        <color rgb="FFFF0000"/>
        <rFont val="Arial"/>
        <family val="2"/>
      </rPr>
      <t>P10</t>
    </r>
    <r>
      <rPr>
        <sz val="11"/>
        <color theme="1"/>
        <rFont val="Arial"/>
        <family val="2"/>
      </rPr>
      <t>),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r>
  </si>
  <si>
    <r>
      <t>Contiene los valores presupuestados en</t>
    </r>
    <r>
      <rPr>
        <b/>
        <sz val="11"/>
        <color theme="1"/>
        <rFont val="Arial"/>
        <family val="2"/>
      </rPr>
      <t xml:space="preserve"> pesos</t>
    </r>
    <r>
      <rPr>
        <sz val="12"/>
        <color theme="1"/>
        <rFont val="Arial"/>
        <family val="2"/>
      </rPr>
      <t xml:space="preserve"> constantes de 2021 para </t>
    </r>
    <r>
      <rPr>
        <b/>
        <sz val="11"/>
        <color theme="1"/>
        <rFont val="Arial"/>
        <family val="2"/>
      </rPr>
      <t xml:space="preserve">cada año desde el año 0 hasta el al 20, </t>
    </r>
    <r>
      <rPr>
        <sz val="12"/>
        <color theme="1"/>
        <rFont val="Arial"/>
        <family val="2"/>
      </rPr>
      <t xml:space="preserve">para los </t>
    </r>
    <r>
      <rPr>
        <sz val="12"/>
        <color rgb="FFFF0000"/>
        <rFont val="Arial"/>
        <family val="2"/>
      </rPr>
      <t xml:space="preserve">10 </t>
    </r>
    <r>
      <rPr>
        <sz val="12"/>
        <color theme="1"/>
        <rFont val="Arial"/>
        <family val="2"/>
      </rPr>
      <t xml:space="preserve">programas y </t>
    </r>
    <r>
      <rPr>
        <sz val="12"/>
        <color rgb="FFFF0000"/>
        <rFont val="Arial"/>
        <family val="2"/>
      </rPr>
      <t>--</t>
    </r>
    <r>
      <rPr>
        <sz val="12"/>
        <color theme="1"/>
        <rFont val="Arial"/>
        <family val="2"/>
      </rPr>
      <t xml:space="preserve"> proyectos . Estos valores están vinculados desde cada hoja de proyecto "P1.1, P1.2…P</t>
    </r>
    <r>
      <rPr>
        <sz val="12"/>
        <color rgb="FFFF0000"/>
        <rFont val="Arial"/>
        <family val="2"/>
      </rPr>
      <t>10</t>
    </r>
    <r>
      <rPr>
        <sz val="12"/>
        <color theme="1"/>
        <rFont val="Arial"/>
        <family val="2"/>
      </rPr>
      <t xml:space="preserve">."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</si>
  <si>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</si>
  <si>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r>
      <t xml:space="preserve">Se relacionan en el orden del portafolio de programas y proyectos, los </t>
    </r>
    <r>
      <rPr>
        <sz val="11"/>
        <color rgb="FFFF0000"/>
        <rFont val="Arial"/>
        <family val="2"/>
      </rPr>
      <t>10</t>
    </r>
    <r>
      <rPr>
        <b/>
        <sz val="11"/>
        <color theme="1"/>
        <rFont val="Arial"/>
        <family val="2"/>
      </rPr>
      <t xml:space="preserve"> programas y </t>
    </r>
    <r>
      <rPr>
        <b/>
        <sz val="11"/>
        <color rgb="FFFF0000"/>
        <rFont val="Arial"/>
        <family val="2"/>
      </rPr>
      <t>---</t>
    </r>
    <r>
      <rPr>
        <b/>
        <sz val="11"/>
        <color theme="1"/>
        <rFont val="Arial"/>
        <family val="2"/>
      </rPr>
      <t xml:space="preserve">  proyectos</t>
    </r>
  </si>
  <si>
    <r>
      <t xml:space="preserve">Contiene los valores estimados en pesos constantes de 2022 para el primer período de implementación, considerado el corto plazo, correspondiente a los 10 programas y </t>
    </r>
    <r>
      <rPr>
        <sz val="11"/>
        <color rgb="FFFF0000"/>
        <rFont val="Arial"/>
        <family val="2"/>
      </rPr>
      <t>--</t>
    </r>
    <r>
      <rPr>
        <sz val="11"/>
        <color theme="1"/>
        <rFont val="Arial"/>
        <family val="2"/>
      </rPr>
      <t xml:space="preserve"> proyectos.
Este valor se vincula de la sumatoria de los valores de la hoja "Estimación de Costos Anualizada "para cada programa y proyecto del año 0 al 4. 
</t>
    </r>
  </si>
  <si>
    <r>
      <t xml:space="preserve">Contiene los valores estimados en pesos constantes de 2022 para el segundo período de implementación, considerado el mediano plazo, correspondiente a los 10 programas y </t>
    </r>
    <r>
      <rPr>
        <sz val="11"/>
        <color rgb="FFFF0000"/>
        <rFont val="Arial"/>
        <family val="2"/>
      </rPr>
      <t>--</t>
    </r>
    <r>
      <rPr>
        <sz val="11"/>
        <color theme="1"/>
        <rFont val="Arial"/>
        <family val="2"/>
      </rPr>
      <t xml:space="preserve"> proyectos.
Este valor se vincula de la sumatoria de los valores de la hoja "Estimación de Costos Anualizada "para cada programa y proyecto del año 5 al 12. 
</t>
    </r>
  </si>
  <si>
    <r>
      <t xml:space="preserve">Contiene los valores estimados en pesos constantes de 2022 para el segundo período de implementación, considerado el mediano plazo, correspondiente a los 10 programas y </t>
    </r>
    <r>
      <rPr>
        <sz val="11"/>
        <color rgb="FFFF0000"/>
        <rFont val="Arial"/>
        <family val="2"/>
      </rPr>
      <t>--</t>
    </r>
    <r>
      <rPr>
        <sz val="11"/>
        <color theme="1"/>
        <rFont val="Arial"/>
        <family val="2"/>
      </rPr>
      <t xml:space="preserve"> proyectos.
Este valor se vincula de la sumatoria de los valores de la hoja "Estimación de Costos Anualizada "para cada programa y proyecto del año 13 al 20. 
</t>
    </r>
  </si>
  <si>
    <r>
      <t>P1, P2, P3…P</t>
    </r>
    <r>
      <rPr>
        <b/>
        <sz val="11"/>
        <color rgb="FFFF0000"/>
        <rFont val="Arial"/>
        <family val="2"/>
      </rPr>
      <t>10</t>
    </r>
  </si>
  <si>
    <r>
      <t xml:space="preserve">Se generó una hoja para cada uno de los </t>
    </r>
    <r>
      <rPr>
        <sz val="11"/>
        <color rgb="FFFF0000"/>
        <rFont val="Arial"/>
        <family val="2"/>
      </rPr>
      <t>10</t>
    </r>
    <r>
      <rPr>
        <sz val="11"/>
        <color theme="1"/>
        <rFont val="Arial"/>
        <family val="2"/>
      </rPr>
      <t xml:space="preserve"> programa que conforman el portafolio, representados por el código asignado a cada programa en el portafolio de programas y proyectos.</t>
    </r>
  </si>
  <si>
    <t>Nombre del programa al que corresponde el programa, se vincula de los nombres de los 10 programas dispuestos en la hoja "Estimación de Costos Anualizada"</t>
  </si>
  <si>
    <r>
      <t xml:space="preserve">Nombre del proyecto correspondientes, se vincula de los nombres de los </t>
    </r>
    <r>
      <rPr>
        <sz val="11"/>
        <color rgb="FFFF0000"/>
        <rFont val="Arial"/>
        <family val="2"/>
      </rPr>
      <t>--</t>
    </r>
    <r>
      <rPr>
        <sz val="11"/>
        <color theme="1"/>
        <rFont val="Arial"/>
        <family val="2"/>
      </rPr>
      <t xml:space="preserve"> proyectos dispuestos en la hoja "Estimación de Costos Anualizada"</t>
    </r>
  </si>
  <si>
    <t>Contiene los  valores en pesos constantes de 2022 de cada proyecto acorde con los conceptos presupuestados y su ejecución en el tiempo. Estos valores están vinculados desde los cuadros específicos para cada proyecto..</t>
  </si>
  <si>
    <t xml:space="preserve">La nomenclatura empleada para los programas corresponde del Programa 1 al Programa 10 y para los proyectos se emplea el número del programa seguido del número en el orden consecutivo del proyecto dentro de cada programa (1, 2, 3…10). En este sentido se creará una hoja para cada programa, y en cada una de ellas se costearán los proyectos que lo conforman. </t>
  </si>
  <si>
    <t>30 personas</t>
  </si>
  <si>
    <t xml:space="preserve">Fecha de inicio </t>
  </si>
  <si>
    <t>Por definir</t>
  </si>
  <si>
    <t>Concepto</t>
  </si>
  <si>
    <t>Dedicación</t>
  </si>
  <si>
    <t>Meses</t>
  </si>
  <si>
    <t>Total año</t>
  </si>
  <si>
    <t>Mesas de trabajo</t>
  </si>
  <si>
    <t>Global</t>
  </si>
  <si>
    <t>Mesas de trabajo virtuales</t>
  </si>
  <si>
    <t>Viáticos Internacional</t>
  </si>
  <si>
    <t>Cursos cortos</t>
  </si>
  <si>
    <t>Cursos cortos virtuales</t>
  </si>
  <si>
    <t>Cursos libres virtuales</t>
  </si>
  <si>
    <t>Equipo humano</t>
  </si>
  <si>
    <t>Desplazamientos, viáticos del equipo humano</t>
  </si>
  <si>
    <t>Stand de promoción y divulgación en eventos regionales</t>
  </si>
  <si>
    <t>Campaña publicitaria nacional</t>
  </si>
  <si>
    <t>Ruedas de negocios virtuales</t>
  </si>
  <si>
    <t>Otros mecanismos de posicionamiento</t>
  </si>
  <si>
    <t xml:space="preserve">Total </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</si>
  <si>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</si>
  <si>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 xml:space="preserve">Tabla. Estimación de costos por proyecto (COP del 2022) </t>
  </si>
  <si>
    <t>1. Incremento del consumo de maíz nacional.</t>
  </si>
  <si>
    <t>1.1. Aumento de la participación del maíz nacional en el mercado de consumo animal.</t>
  </si>
  <si>
    <t>1.2. Posicionamiento de la oferta del maíz nacional y sus derivados, para  alimentación humana y otros usos.</t>
  </si>
  <si>
    <t>Talleres y/o eventos de divulgación nacionales y/o regionales</t>
  </si>
  <si>
    <t>Talleres y/o eventos de divulgación nacionales y/o regionales virtuales</t>
  </si>
  <si>
    <t>Gira técnica</t>
  </si>
  <si>
    <t>Ferias comerciales</t>
  </si>
  <si>
    <t>50 asistentes</t>
  </si>
  <si>
    <t>Por muestra</t>
  </si>
  <si>
    <t>%/dedicación</t>
  </si>
  <si>
    <t>Plataformas de información</t>
  </si>
  <si>
    <t>Otras formas de aumento</t>
  </si>
  <si>
    <t>30 asistentes</t>
  </si>
  <si>
    <t>5 empresas/personas</t>
  </si>
  <si>
    <t>persona/semana</t>
  </si>
  <si>
    <t>Promedio salario</t>
  </si>
  <si>
    <t>Campañas Institucionales</t>
  </si>
  <si>
    <t>EJE ESTRUCTURAL</t>
  </si>
  <si>
    <t>OBJETIVO ESTRATÉGICO</t>
  </si>
  <si>
    <t>PROGRAMA</t>
  </si>
  <si>
    <t>PROYECTO</t>
  </si>
  <si>
    <t xml:space="preserve">EE1. Competitividad, productividad y especialización regional </t>
  </si>
  <si>
    <t>OE1. Fortalecer el mercado y el consumo de maíz.</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</si>
  <si>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</si>
  <si>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</si>
  <si>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</si>
  <si>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</si>
  <si>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OE3. Fortalecer la especialización regional</t>
  </si>
  <si>
    <t>3.2. Promoción de la integración y las alianzas estratégicas regionales en la cadena de maíz.</t>
  </si>
  <si>
    <t>3.3. Aumento de la capacidad instalada regional para el secamiento, almacenamiento, y  procesamiento agroindustrial de maíz.</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</si>
  <si>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</si>
  <si>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</si>
  <si>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</si>
  <si>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</si>
  <si>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4.2. Promoción del manejo eficiente del suelo y del agua, en la producción de maíz.</t>
  </si>
  <si>
    <t>OE5. Fortalecer el compromiso ambiental de la cadena.</t>
  </si>
  <si>
    <t xml:space="preserve">5. Fortalecimiento de la gestión ambiental en la cadena maicera.
</t>
  </si>
  <si>
    <t>5.1. Mejora del desempeño ambiental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</si>
  <si>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</si>
  <si>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</si>
  <si>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</si>
  <si>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</si>
  <si>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6.2. Contribución al incremento del nivel educativo de los actores vinculados a la cadena.</t>
  </si>
  <si>
    <t>6.3. Mejora en las capacidades técnicas de los agentes económicos de la cadena</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</si>
  <si>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</si>
  <si>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</si>
  <si>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</si>
  <si>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</si>
  <si>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</si>
  <si>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</si>
  <si>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</si>
  <si>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</si>
  <si>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8. Fortalecimiento del desarrollo tecnológico y la innovación de la cadena.</t>
  </si>
  <si>
    <t>8.2. Fortalecimiento del talento humano en I+D+i, y en extensionismo agrícola e industrial.</t>
  </si>
  <si>
    <t>OE9. Fortalecer la organización, financiación, seguimiento y control de la cadena.</t>
  </si>
  <si>
    <t>9. Fortalecimiento de la gestión institucional de la cadena de maíz</t>
  </si>
  <si>
    <t>9.1. Fortalecimiento del Sistema de Inspección, Vigilancia y Control para la cadena de maíz.</t>
  </si>
  <si>
    <t>9. Fortalecimiento de la gestión institucional de la cadena de maíz.</t>
  </si>
  <si>
    <t>9.2. Diseño y mejora de los instrumentos de financiamiento, comercialización, gestión de riesgos y empresarización para la cadena de maíz.</t>
  </si>
  <si>
    <t>Por persona</t>
  </si>
  <si>
    <t>Costo anual</t>
  </si>
  <si>
    <t>Persona/promedio/mes</t>
  </si>
  <si>
    <t xml:space="preserve">Talleres y/ o eventos de divulgación nacionales y/o regionales </t>
  </si>
  <si>
    <t>Talleres y/o eventos de divulgación nacional y/o regional virtuales</t>
  </si>
  <si>
    <t>Ferias Comerciales</t>
  </si>
  <si>
    <t>Plataformas/ base de datos</t>
  </si>
  <si>
    <t xml:space="preserve"> Rueda de negocio nacional y regional presencial</t>
  </si>
  <si>
    <t>50 personas</t>
  </si>
  <si>
    <t>5 empresas y/o personas</t>
  </si>
  <si>
    <t>Certificaciones diferenciadoras</t>
  </si>
  <si>
    <t>Campaña publicitaria regional</t>
  </si>
  <si>
    <t>Plan de Medios radial regional</t>
  </si>
  <si>
    <t xml:space="preserve">Cursos cortos </t>
  </si>
  <si>
    <t>Tiquetes y viáticos</t>
  </si>
  <si>
    <t>Equipo en región</t>
  </si>
  <si>
    <t>Mensual</t>
  </si>
  <si>
    <t>6.4. Promoción de la generación del empleo formal y la mejora de las condiciones laborales a lo largo de la cadena.</t>
  </si>
  <si>
    <t>Fecha de finalización</t>
  </si>
  <si>
    <t>Mes 12 Año 20</t>
  </si>
  <si>
    <t>Cursos libres</t>
  </si>
  <si>
    <t>Valor Global</t>
  </si>
  <si>
    <t>Por UPA</t>
  </si>
  <si>
    <t>40 personas</t>
  </si>
  <si>
    <t>Desarrolladores de plataformas de mercadeo</t>
  </si>
  <si>
    <t>Incentivo vivienda</t>
  </si>
  <si>
    <t>Incentivo servicios Públicos</t>
  </si>
  <si>
    <t>Valor promedio</t>
  </si>
  <si>
    <t>Valor global</t>
  </si>
  <si>
    <t>Otras formas de promoción</t>
  </si>
  <si>
    <t>Plan de medios regional</t>
  </si>
  <si>
    <t>Material promocional</t>
  </si>
  <si>
    <t>Cursos libres  virtuales</t>
  </si>
  <si>
    <t>Diplomado</t>
  </si>
  <si>
    <t>Diplomado virtual</t>
  </si>
  <si>
    <t>Otras formas de contribución</t>
  </si>
  <si>
    <t>Apoyos tecnológicos</t>
  </si>
  <si>
    <t>Persona/promedio</t>
  </si>
  <si>
    <t>Persona</t>
  </si>
  <si>
    <t>Convenios y Programas</t>
  </si>
  <si>
    <t>Incentivo a las Tics</t>
  </si>
  <si>
    <t>Incentivo conectividad</t>
  </si>
  <si>
    <t>Mes 7 del año 1</t>
  </si>
  <si>
    <t>Mes 12 del año 20</t>
  </si>
  <si>
    <t>Plan radial regional</t>
  </si>
  <si>
    <t>Otras formas de mejora</t>
  </si>
  <si>
    <t>Convenios y programas</t>
  </si>
  <si>
    <t>Incentivo a la formalización</t>
  </si>
  <si>
    <t>Incentivo al emprendimiento</t>
  </si>
  <si>
    <t>Mes 12 del año 19</t>
  </si>
  <si>
    <t>Material de divulgación</t>
  </si>
  <si>
    <t>Otras formas de articulación</t>
  </si>
  <si>
    <t>Desarrolladores de plataformas de información</t>
  </si>
  <si>
    <t>Otras formas de promoción y tenencia</t>
  </si>
  <si>
    <t>Campaña institucional</t>
  </si>
  <si>
    <t xml:space="preserve">Equipo humano </t>
  </si>
  <si>
    <t>Desarrolladores plataformas</t>
  </si>
  <si>
    <t xml:space="preserve">Incentivo comisión FAG contratos </t>
  </si>
  <si>
    <t>Viaje  internacional</t>
  </si>
  <si>
    <t>Mercados campesinos/circuitos cortos comercialización</t>
  </si>
  <si>
    <t>Subtotal (5 primeros años)</t>
  </si>
  <si>
    <t>Desarrolladores plataforma asistencia técnica</t>
  </si>
  <si>
    <t>Material divulgación y promocional</t>
  </si>
  <si>
    <t>Planes de reconversión productiva</t>
  </si>
  <si>
    <t>Viaje Internacional y viáticos</t>
  </si>
  <si>
    <t xml:space="preserve"> Rueda de negocio nacional y regional virtual</t>
  </si>
  <si>
    <t>Giras técnica</t>
  </si>
  <si>
    <t>20 asistentes</t>
  </si>
  <si>
    <t>Toneladas de cal dolomita</t>
  </si>
  <si>
    <t>Certificadores de producto  cal</t>
  </si>
  <si>
    <t>Plantas productoras</t>
  </si>
  <si>
    <t>ICR modernización de maquinaria</t>
  </si>
  <si>
    <t>Equipo humano nacional</t>
  </si>
  <si>
    <t>5 empresas</t>
  </si>
  <si>
    <t>Material promocional y divulgación</t>
  </si>
  <si>
    <t>Otras formas de implementación</t>
  </si>
  <si>
    <t>Equipo humano  especializados</t>
  </si>
  <si>
    <t>Mes 10 Año 1</t>
  </si>
  <si>
    <t>Valor 1 año</t>
  </si>
  <si>
    <t xml:space="preserve">Valor anual años 2 al 5  </t>
  </si>
  <si>
    <t>Mesas de trabajo virtual</t>
  </si>
  <si>
    <t>Meses/periodicidad</t>
  </si>
  <si>
    <t xml:space="preserve"> Mesas de trabajo presencial</t>
  </si>
  <si>
    <t>Desplazamiento equipo humano</t>
  </si>
  <si>
    <t>Visitas, giras técnicas</t>
  </si>
  <si>
    <t xml:space="preserve">Equipo humano  región </t>
  </si>
  <si>
    <t>Mes 12 año 20</t>
  </si>
  <si>
    <t>Talleres y/ o eventos de divulgación nacionales y/o regionales presenciales</t>
  </si>
  <si>
    <t>Talleres y/ o eventos de divulgación nacionales y/o regionales virtuales</t>
  </si>
  <si>
    <t>Mesas de trabajo presenciales</t>
  </si>
  <si>
    <t>Desplazamiento equipo humano nacional</t>
  </si>
  <si>
    <t>Equipo humano en región</t>
  </si>
  <si>
    <t>Cursos cortos presenciales</t>
  </si>
  <si>
    <t>Rueda de negocio nacional y regional presencial</t>
  </si>
  <si>
    <t xml:space="preserve">Diplomados </t>
  </si>
  <si>
    <t>Diplomados virtual</t>
  </si>
  <si>
    <t>Mesas de trabajo  presenciales</t>
  </si>
  <si>
    <t>Giras técnicas</t>
  </si>
  <si>
    <t>Equipo en Región</t>
  </si>
  <si>
    <t>Incentivo emprendimiento microempresas</t>
  </si>
  <si>
    <t>Incentivo emprendimiento pequeñas</t>
  </si>
  <si>
    <t>Incentivo emprendimiento medianas</t>
  </si>
  <si>
    <t>Empresa</t>
  </si>
  <si>
    <t>Promedio persona</t>
  </si>
  <si>
    <t>Valor anual año 1 al 5</t>
  </si>
  <si>
    <t>Valor anula año 6 a 20</t>
  </si>
  <si>
    <t>Año 1</t>
  </si>
  <si>
    <t>Año 2 al 11</t>
  </si>
  <si>
    <t>Año 12 al 20</t>
  </si>
  <si>
    <t>Promedio Persona</t>
  </si>
  <si>
    <t xml:space="preserve">Rueda de negocio nacional y regional presencial </t>
  </si>
  <si>
    <t>Empresa/asociación</t>
  </si>
  <si>
    <t>Valor anual año 1 al 10</t>
  </si>
  <si>
    <t>Valor anula año 11 a 20</t>
  </si>
  <si>
    <t>Mes 4 año 1</t>
  </si>
  <si>
    <t xml:space="preserve">Por definir </t>
  </si>
  <si>
    <t>Mes 1 año 1</t>
  </si>
  <si>
    <t>Talleres y/ o eventos de divulgación nacionales y/o regionales (Productor, transformador, comercialización)</t>
  </si>
  <si>
    <t xml:space="preserve">Global </t>
  </si>
  <si>
    <t>Campaña publicitaria institucional ( Nacional)</t>
  </si>
  <si>
    <t xml:space="preserve">Promedio persona </t>
  </si>
  <si>
    <t xml:space="preserve">Desplazamiento y viáticos Equipo Humano </t>
  </si>
  <si>
    <t xml:space="preserve">Equipo humano región </t>
  </si>
  <si>
    <t>Rueda de negocio  virtual</t>
  </si>
  <si>
    <t>Talleres y/o eventos de divulgación virtuales</t>
  </si>
  <si>
    <t>Incentivos valor agregado microempresas</t>
  </si>
  <si>
    <t>Incentivo valor agregado  pequeñas  empresas</t>
  </si>
  <si>
    <t>PROGRAMA - PROYECTO / AÑO 1 AL 20</t>
  </si>
  <si>
    <t>TOTAL</t>
  </si>
  <si>
    <t>Estimación de Costos  Plan de acción cadena maicera</t>
  </si>
  <si>
    <t>Apoyo UPA</t>
  </si>
  <si>
    <t>Incentivo Familias explotación integral</t>
  </si>
  <si>
    <t>Talleres y/o eventos de divulgación regionales</t>
  </si>
  <si>
    <t>Material de promoción</t>
  </si>
  <si>
    <t>Valor mensual</t>
  </si>
  <si>
    <t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t>
  </si>
  <si>
    <t>Talleres y/o eventos de divulgación nacionales</t>
  </si>
  <si>
    <t>Parcelas demostrativas o lotes modelo</t>
  </si>
  <si>
    <t>Escuelas, días de campo, giras técnicas,  y/o visitas</t>
  </si>
  <si>
    <t>Costo/30 personas</t>
  </si>
  <si>
    <t>Costo/persona</t>
  </si>
  <si>
    <t>Consultoría especializada para diseño de riego intrapredial</t>
  </si>
  <si>
    <t>Costo/Ha</t>
  </si>
  <si>
    <t>Otros tipos de captación, almacenamiento y aprovechamiento de agua</t>
  </si>
  <si>
    <t>Talleres y/o eventos virtuales</t>
  </si>
  <si>
    <t>Escuelas, días de campo, giras técnicas,  y/ o visitas</t>
  </si>
  <si>
    <t>Costo/20 personas</t>
  </si>
  <si>
    <t>Parcelas demostrativas</t>
  </si>
  <si>
    <t>Diplomados</t>
  </si>
  <si>
    <t>Diplomados virtuales</t>
  </si>
  <si>
    <t>Personas</t>
  </si>
  <si>
    <t xml:space="preserve">Incentivo Inversiones en tecnologías y prácticas sostenibles microempresas </t>
  </si>
  <si>
    <t>Incentivo Inversiones en tecnologías y prácticas sostenibles pequeñas</t>
  </si>
  <si>
    <t>Incentivo Inversiones en tecnologías y prácticas sostenibles medianas</t>
  </si>
  <si>
    <t>Viaje internacional</t>
  </si>
  <si>
    <t>Viáticos</t>
  </si>
  <si>
    <t>Empresas</t>
  </si>
  <si>
    <t>Implementación del modelo de I+D+i</t>
  </si>
  <si>
    <t>Otras formas de fortalecimiento</t>
  </si>
  <si>
    <t>Formación tecnológica y/o universitaria</t>
  </si>
  <si>
    <t>Maestría</t>
  </si>
  <si>
    <t>Doctorado</t>
  </si>
  <si>
    <t>Viajes internacionales</t>
  </si>
  <si>
    <t>Otros mecanismos de fortalecimiento</t>
  </si>
  <si>
    <t xml:space="preserve">Incentivos para unidades productoras </t>
  </si>
  <si>
    <t>Valor anual años 2 al 20</t>
  </si>
  <si>
    <t xml:space="preserve">Valor persona asistencia técnica </t>
  </si>
  <si>
    <t>Subtotal sin asistencia técnica</t>
  </si>
  <si>
    <t>Incentivos a la formalización a la propiedad</t>
  </si>
  <si>
    <t>Valor indicativo en pesos constantes de 2022 por programa y proyecto.</t>
  </si>
  <si>
    <t>Total 
(Millones de Pesos)</t>
  </si>
  <si>
    <t>Mediano Plazo 
(5 al 12 año)</t>
  </si>
  <si>
    <t>Corto Plazo
 (1 al 4 año)</t>
  </si>
  <si>
    <t>Parcelas demostrativas/lotes modelos</t>
  </si>
  <si>
    <t xml:space="preserve">OE2. Incrementar la productividad del cultivo de maíz. </t>
  </si>
  <si>
    <t>2.1. Implementación efectiva de la asistencia técnica en sistemas tecnificados de maíz.</t>
  </si>
  <si>
    <t>EE1. Competitividad, productividad y especialización regional</t>
  </si>
  <si>
    <t xml:space="preserve">2.2. Impulso a la producción de maíz a mediana y gran escala.  </t>
  </si>
  <si>
    <t xml:space="preserve">3.4. Fortalecimiento de la oferta de insumos y servicios asociados a la cadena. </t>
  </si>
  <si>
    <t>3.5. Mejora del entorno productivo para las grandes inversiones en las regiones maiceras.</t>
  </si>
  <si>
    <t>OE6. Contribuir al mejoramiento del entorno social asociado a la cadena</t>
  </si>
  <si>
    <t>6. Contribución al mejoramiento en las condiciones de vida de la población vinculada a la cadena de maíz.</t>
  </si>
  <si>
    <t>6.5. Contribución a la mejora de condiciones de conectividad vial y de servicios públicos, en las regiones maiceras.</t>
  </si>
  <si>
    <t>OE9. Fortalecer la organización, financiación, seguimiento y control de la cadena</t>
  </si>
  <si>
    <t>9.3. Fortalecimiento de mecanismos institucionales para el impulso a las inversiones en producción de maíz a mediana y gran escala.</t>
  </si>
  <si>
    <t>9.4. Diseño y operación del Sistema nacional de Información para la cadena de maíz.</t>
  </si>
  <si>
    <t>9.5. Constitución y fortalecimiento de la Organización de Cadena de maíz.</t>
  </si>
  <si>
    <t>9.6. Adopción, promoción y monitoreo de la política pública para la cadena de maíz.</t>
  </si>
  <si>
    <t>Desplazamiento Experto</t>
  </si>
  <si>
    <t>Tiquetes Viaje Internacional</t>
  </si>
  <si>
    <t xml:space="preserve">Plan de medios radial regional </t>
  </si>
  <si>
    <t xml:space="preserve">Equipamiento de laboratorios para el control de calidad de grano </t>
  </si>
  <si>
    <t>Desarrollo de la estrategia financiera</t>
  </si>
  <si>
    <t>Mesas de trabajo virtuales (nacionales, regionales e internacionales)</t>
  </si>
  <si>
    <t>Funcionamiento del sistema</t>
  </si>
  <si>
    <t>otras formas de fortalecimiento</t>
  </si>
  <si>
    <t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t>
  </si>
  <si>
    <t>Desarrollador de plataforma</t>
  </si>
  <si>
    <t>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t>
  </si>
  <si>
    <t>Fortalecimiento</t>
  </si>
  <si>
    <t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</si>
  <si>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Valor indicativo en pesos constantes de 2022 corto, mediano y largo plazo</t>
  </si>
  <si>
    <t>Equipo gestor especializado</t>
  </si>
  <si>
    <t>Total  año 1 al 5</t>
  </si>
  <si>
    <t>Total 6 al año 20</t>
  </si>
  <si>
    <t>Funcionamiento red colaborativa</t>
  </si>
  <si>
    <t>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t>
  </si>
  <si>
    <t>Mes 12  del año 20</t>
  </si>
  <si>
    <t>Participación en ferias comerciales internacionales</t>
  </si>
  <si>
    <t>Visitas a zonas productivas potenciales priorizadas</t>
  </si>
  <si>
    <t>Equipo Humano Nacional</t>
  </si>
  <si>
    <t>Desplazamiento</t>
  </si>
  <si>
    <t>Valor 2 al 4</t>
  </si>
  <si>
    <t>Valor 2 al 6</t>
  </si>
  <si>
    <t>Valor año 7 al 20</t>
  </si>
  <si>
    <t>Incentivos, deducciones tributarias, entre otras</t>
  </si>
  <si>
    <t>Valor anual años 6 al 11</t>
  </si>
  <si>
    <t>Años 12 al 20</t>
  </si>
  <si>
    <t>Valor anual del 6 al 20</t>
  </si>
  <si>
    <t>Hectáreas por año</t>
  </si>
  <si>
    <t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t>
  </si>
  <si>
    <t>ICR Soluciones individuales en riego</t>
  </si>
  <si>
    <t>Fecha de Finalización</t>
  </si>
  <si>
    <t>Mes 12 Año 12</t>
  </si>
  <si>
    <t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t>
  </si>
  <si>
    <t xml:space="preserve">Incentivo microempresas técnicas especializadas  </t>
  </si>
  <si>
    <t xml:space="preserve">Incentivo pequeñas empresas técnicas especializadas  </t>
  </si>
  <si>
    <t xml:space="preserve">Incentivo  medianas empresas técnicas especializadas  </t>
  </si>
  <si>
    <t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t>
  </si>
  <si>
    <t>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t>
  </si>
  <si>
    <t>Mes 10 del año 1</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</si>
  <si>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</si>
  <si>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</si>
  <si>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</si>
  <si>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</si>
  <si>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</si>
  <si>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</si>
  <si>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</si>
  <si>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</si>
  <si>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</si>
  <si>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</si>
  <si>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</si>
  <si>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</si>
  <si>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</si>
  <si>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</si>
  <si>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maiz</t>
  </si>
  <si>
    <t>Porcentaje y Valor indicativo en pesos constantes  de 2022 corto, mediano y largo plazo</t>
  </si>
  <si>
    <t>Mes 10  Año 1</t>
  </si>
  <si>
    <t>Mes 4 Año 1</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</si>
  <si>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t>
  </si>
  <si>
    <t>LEC modernización de maquinaria</t>
  </si>
  <si>
    <t>Valor 1 al 5 año</t>
  </si>
  <si>
    <t>Valor adicional para fortalecer el ISA ( Incentivo de seguros agropecuarios) para el sector maicero</t>
  </si>
  <si>
    <t xml:space="preserve">Has </t>
  </si>
  <si>
    <t>LEC  adecuación de tierras para uso agropecuario</t>
  </si>
  <si>
    <t>Año 2 al 5</t>
  </si>
  <si>
    <t>Año 6 al 11</t>
  </si>
  <si>
    <t>Valor año</t>
  </si>
  <si>
    <t>Incentivo ICR para el montaje de plantas de secamiento y almacenamiento proyecto finquero</t>
  </si>
  <si>
    <t>Incentivo ICR para el montaje de plantas de secamiento y almacenamiento asociativo pequeño</t>
  </si>
  <si>
    <t>Incentivo ICR para el montaje de plantas de secamiento y almacenamiento asociativo mediano</t>
  </si>
  <si>
    <t>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t>
  </si>
  <si>
    <t>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t>
  </si>
  <si>
    <t>LEC para créditos de capitalización empresas</t>
  </si>
  <si>
    <t>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t>
  </si>
  <si>
    <t>Valor adicional para fortalecer el programa de cobertura de precios y tasa de cambio para maíz</t>
  </si>
  <si>
    <t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t>
  </si>
  <si>
    <t>Asociaciones/empresa</t>
  </si>
  <si>
    <t xml:space="preserve">Se estiman 6 mesas de trabajo presencial y 6 virtuales, pago anual a plataformas de información y base de datos,  se estima 2 visitas de consultores internacionales con tiquetes y viáticos para profundizar sobre temas de mercado en otros países de referencia, se estima la creación de un incentivo al valor agregado para pequeñas y medianas empresas, el cual se calculó teniendo en cuenta el valor de los ingresos de micro y pequeñas empresas, de acuerdo a la clasificación de la Dian, a la cual se le estimó un porcentaje del 10% y 5% del valor anual de los ingresos estimados y a este resultado se le calculó el 10% y el 5%  para hallar un valor de apoyo para la generación de valor agregado para micro y pequeñas empresas de $8.954.883 y $19,476.575 respectivamente, para 8  microempresas  y 4 pequeñas empresas en las regiones a intervenir, cada región. Se estimaron 5 talleres y/o eventos de divulgación nacionales y regionales por región a intervenir, tanto presencial como virtual, se estimó la realización de 2 ferias comerciales por región a intervenir, ruedas de negocios presenciales y virtuales por región, se estiman certificaciones diferenciadoras por región a intervenir, campaña publicitaria nacional, campañas publicitarias por región a intervenir, 2 stand de promoción y divulgación por zonas a intervenir, pautas en redes sociales por región, plan de medios radiales a nivel regional, cursos cortos presenciales y virtuales a nivel regional ( 2 por región a intervenir),  se calcula un equipo humano para los proyectos 1.1 y 1.2  a nivel nacional con un salario promedio de $7.862.772 y su desplazamiento a región, se estima también un personal en región con un sueldo promedio de $3.931.384 y rodamiento de $1.300.000 para el desplazamiento en región y apoyos tecnológicos.  Se deja por definir  otros mecanismos de posicionamiento. </t>
  </si>
  <si>
    <t>Análisis de calidad del grano</t>
  </si>
  <si>
    <t>Tonelada con garantías Fag</t>
  </si>
  <si>
    <t>Consultoría Especializada</t>
  </si>
  <si>
    <t>Tiquetes y desplazamiento 8 días</t>
  </si>
  <si>
    <t>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</si>
  <si>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</si>
  <si>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</si>
  <si>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Consultoría especializada</t>
  </si>
  <si>
    <t>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</si>
  <si>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t>
  </si>
  <si>
    <t>Otros mecanismos de seguridad jurídica</t>
  </si>
  <si>
    <t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t>
  </si>
  <si>
    <t>Total año y  2</t>
  </si>
  <si>
    <t>Consultorías especializadas</t>
  </si>
  <si>
    <r>
      <t>En este anexo se presentan los detalles de los cálculos realizados para estimar los costos de implementación del portafolio de programas y proyectos para el subsector maíz, en pesos constantes de 2022.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</si>
  <si>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maíz, saber cuál es la demanda de recursos aproximada para desarrollar los proyectos señaladas en el Portafolio y con ello facilitar gestión de recursos para su implementación.
Esta Estimación de Costos presentado debe ser revisada y actualizada periódicamente.</t>
  </si>
  <si>
    <t>kits de maquinaria</t>
  </si>
  <si>
    <t>Cantidad  estimada de almacenamientoda por tipo de proyecto</t>
  </si>
  <si>
    <t>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estiman siembras de 193.000 has anuales de manera tecnificada que producen 1.119.400 toneladas de maiz , de las cuales, el 20%, es decir 223.880 toneladas, se comercialicen con contratos anticipados. Se supuso un valor por tonelada de maíz de 1.000.000 por tonelada,  y se estimó que el porcentaje de comisión del FAG es del 3.75% y el registro en la BMC del vendedor es de 0.04% del valor de la negociación, lo que arroja un valor de $37.900 por tonelada de maíz registrada en la BMC, valor que se estima sea asumido por el estado  durante los cinco primeros años .  Se deja por definir  otras formas de aumento.</t>
  </si>
  <si>
    <t>ICR Compra cal dolomita  has de maíz</t>
  </si>
  <si>
    <t>LEC Compra cal  has de maíz</t>
  </si>
  <si>
    <t>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estima  la construcción anual de 157,895 toneladas de capacidad instalada de infraestructura de secamiento y almacenamiento, para completar en 19 años una capacidad de 3.000.000 de toneladas. De esta cantidad se estima que el  10% sea para pequeños productores, es decir 15.789, el 40% para  pequeños productores asociados, es decir 63.158 y el 30% restante para medianos productores asociados es decir 47.368 productores,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a lo cual se estima inyectar recursos para apoyar un 20% de ICR para el montaje de plantas de secamiento y almacenamiento.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t>
  </si>
  <si>
    <t>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de apoyo LEC de adecuación de tierras para uso agropecuario, en un 30% de  50.000 ha/año, es decir 15.000 ha/año, durante 10 años. Se estima un ICR del 20% para soluciones individuales en riego, de las 50.000 ha/año, un 5% anual, es decir 2.500 ha/año, del año 2 al año 20,  con un valor estimado de $7.994.184/ha (USD 2.150 a una tasa de cambio de $3.718); este valor corresponde a un sistema de riego por pivote que incluye equipos, y no incluye mano de obra, ni infraestructura para captación de aguas. Se considera "Por definir" Otros tipos de captación, almacenamiento y aprovechamiento de agua, y otras formas de promoción</t>
  </si>
  <si>
    <t>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t>
  </si>
  <si>
    <t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t>
  </si>
  <si>
    <t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 crear un  incentivo a la adecuación química de suelos para la siembra de 50.000 has por año,  con  la aplicación de 5 t/h de Cal dolomita, es decir 250.000 toneladas anuales,  con un costo de $100.000 por tonelada, mediante la asignación de ICR del 40% durante los 10 primeros años, ya que es una inversión de lento retorno, a partir del año 12 y hasta el  20 se propone una línea especial de crédito, que subsidie el 7.5% del interés del valor del crédito para la compra de 250.000 toneladas de cal por año. Para modernizar la  maquinaria, se propone asignar recursos para  la compra  de 125 kits-núcleos de 400 has de capacidad, es decir para la mecanización de  50.000 has, cuyo costo por kit es de $2.570.750 según estudio realizado en la iniciativa soya maíz , proyecto maíz del 2021, mediante la asignación de ICR del 20% del valor de estos kits. Posteriormente se asignaran recursos de LEC para  continuar apoyando  la  modernización de la maquinaria, a partir del año 12 y hasta el  20 se propone una línea especial de crédito para subsidiar 7.5% puntos de la tasa de interés del costo de la maquinaria para continuar modernizando los equipos para la siembra de 50.000 has de cultivo por año. </t>
  </si>
  <si>
    <t>SUPUESTOS ESTIMACION DE COSTOS</t>
  </si>
  <si>
    <t>VALOR ESTIMADO</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</si>
  <si>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</si>
  <si>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</si>
  <si>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</si>
  <si>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</si>
  <si>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</si>
  <si>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</si>
  <si>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</si>
  <si>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</si>
  <si>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</si>
  <si>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</si>
  <si>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</si>
  <si>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</si>
  <si>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</si>
  <si>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</si>
  <si>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</si>
  <si>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</si>
  <si>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</si>
  <si>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</si>
  <si>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</si>
  <si>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</si>
  <si>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</si>
  <si>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</si>
  <si>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</si>
  <si>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</si>
  <si>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</si>
  <si>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</si>
  <si>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</si>
  <si>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</si>
  <si>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</si>
  <si>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</si>
  <si>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</si>
  <si>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</si>
  <si>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</si>
  <si>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</si>
  <si>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</si>
  <si>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</si>
  <si>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</si>
  <si>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</si>
  <si>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</si>
  <si>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</si>
  <si>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</si>
  <si>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</si>
  <si>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</si>
  <si>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</si>
  <si>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</si>
  <si>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</si>
  <si>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</si>
  <si>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</si>
  <si>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</si>
  <si>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</si>
  <si>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</si>
  <si>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</si>
  <si>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</si>
  <si>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</si>
  <si>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</si>
  <si>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</si>
  <si>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</si>
  <si>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</si>
  <si>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</si>
  <si>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</si>
  <si>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</si>
  <si>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</si>
  <si>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</si>
  <si>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</si>
  <si>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</si>
  <si>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</si>
  <si>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</si>
  <si>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</si>
  <si>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</si>
  <si>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</si>
  <si>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Nota: Se supone para elaboración de estudios, conformación de grupos de trabajo de 5 personas, 1 líder y 4 profesionales de apoyo.</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</si>
  <si>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</si>
  <si>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</si>
  <si>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</si>
  <si>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</si>
  <si>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</si>
  <si>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</si>
  <si>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</si>
  <si>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</si>
  <si>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</si>
  <si>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</si>
  <si>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</si>
  <si>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</si>
  <si>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</si>
  <si>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</si>
  <si>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</si>
  <si>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</si>
  <si>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</si>
  <si>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</si>
  <si>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</si>
  <si>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</si>
  <si>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</si>
  <si>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</si>
  <si>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</si>
  <si>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</si>
  <si>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</si>
  <si>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</si>
  <si>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</si>
  <si>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</si>
  <si>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</si>
  <si>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</si>
  <si>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</si>
  <si>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</si>
  <si>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</si>
  <si>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</si>
  <si>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</si>
  <si>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</si>
  <si>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</si>
  <si>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</si>
  <si>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</si>
  <si>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Fuente: Valores referencia obtenidos del Decreto No.979 DE 2021 "Por el cual se fijan las escalas de viáticos</t>
  </si>
  <si>
    <t>"https://www.funcionpublica.gov.co/eva/gestornormativo/norma.php?i=169099</t>
  </si>
  <si>
    <t>c. Tiquetes Nacionales aéreos</t>
  </si>
  <si>
    <t>Bogota- Monteria</t>
  </si>
  <si>
    <t>Bogota_ Ibague</t>
  </si>
  <si>
    <t>Bogotá- Valledupar</t>
  </si>
  <si>
    <t>Bogotá- Villavicencio</t>
  </si>
  <si>
    <t>Valor promedio ida y regreso</t>
  </si>
  <si>
    <t>Valor promedio ida y regreso. Despegar 3 de maroz 2022</t>
  </si>
  <si>
    <t xml:space="preserve">Nota: Corresponde a un valor promedio simple  del costo de vuelos de rutas nacionales. </t>
  </si>
  <si>
    <t>d. Valor dado al desplazamiento Terrestre por persona/promedio ( 2 dias)</t>
  </si>
  <si>
    <t>Combustible</t>
  </si>
  <si>
    <t>Criterio de Cálculo</t>
  </si>
  <si>
    <t>Galón de gasolina</t>
  </si>
  <si>
    <t>Km por Galón</t>
  </si>
  <si>
    <t>35 km por galón</t>
  </si>
  <si>
    <t>Combustible Región 2. Intermedia /Recorre 100 km diario por 20 dias)</t>
  </si>
  <si>
    <t>2000 km mensuales</t>
  </si>
  <si>
    <t>Combustible Región 3. Lejana/ Recorre 200 km diarios por 20 dias.</t>
  </si>
  <si>
    <t>4000 km mensuales</t>
  </si>
  <si>
    <t>Valor aprox Combustible</t>
  </si>
  <si>
    <t>Aproximación a número mayor</t>
  </si>
  <si>
    <t>El rubro de combustible se utiliza el valor promedio hallado, es decir $800.000</t>
  </si>
  <si>
    <t>Peaje promedio mensual</t>
  </si>
  <si>
    <t>Aprox mayor valor</t>
  </si>
  <si>
    <t>Valor peaje promedio 12.000 y se estima dos peajes diarios</t>
  </si>
  <si>
    <t xml:space="preserve">Nota: Corresponde a un valor global simple  del costo promedio de peajes entre las subregiones. </t>
  </si>
  <si>
    <t>e. Rodamiento</t>
  </si>
  <si>
    <t>Peajes</t>
  </si>
  <si>
    <t xml:space="preserve">f. Apoyos tecnológicos y herramientas de diagnóstico </t>
  </si>
  <si>
    <t>Alquiler GPS</t>
  </si>
  <si>
    <t>Alquiler Tablet</t>
  </si>
  <si>
    <t>Barreno</t>
  </si>
  <si>
    <t>Medidor de pH</t>
  </si>
  <si>
    <t>Otros</t>
  </si>
  <si>
    <t>Nota: Valor promedio precio alquiler marzo 2022</t>
  </si>
  <si>
    <t>g. Tiquetes internacionales</t>
  </si>
  <si>
    <t>Países De referencia</t>
  </si>
  <si>
    <t>Valor tiquetes</t>
  </si>
  <si>
    <t>Brasil- Sao Paulo-</t>
  </si>
  <si>
    <t>Mexico</t>
  </si>
  <si>
    <t>Argentina</t>
  </si>
  <si>
    <t>Estados Unidos- Chicago</t>
  </si>
  <si>
    <t>3/03/2022, fuente Despegar.</t>
  </si>
  <si>
    <t xml:space="preserve">Nota: Corresponde a un valor promedio simple del costo de vuelos  directos a dichos destinos. </t>
  </si>
  <si>
    <t>Regiones</t>
  </si>
  <si>
    <t>Subregiones</t>
  </si>
  <si>
    <t>Macroregiones técnificadas</t>
  </si>
  <si>
    <t>Nota. En concordancia  la regionalización de maiz.</t>
  </si>
  <si>
    <t>Regiones Maiceras</t>
  </si>
  <si>
    <t>Amazonia - AZ</t>
  </si>
  <si>
    <t>Caribe Húmedo - CH</t>
  </si>
  <si>
    <t>Caribe Seco - CS</t>
  </si>
  <si>
    <t>Costa Pacifica - CP</t>
  </si>
  <si>
    <t>Ladera - LA</t>
  </si>
  <si>
    <t>Orinoquia - OR</t>
  </si>
  <si>
    <t>Valles Interandinos - VI</t>
  </si>
  <si>
    <t>% Participación del Sistema Técnificado por subregión</t>
  </si>
  <si>
    <t>Participación sistema tecnificado</t>
  </si>
  <si>
    <t>VI - Valle del Cauca</t>
  </si>
  <si>
    <t>LA - Valle Occidente</t>
  </si>
  <si>
    <t>LA - Tolima Huila</t>
  </si>
  <si>
    <t>VI - Alto Magdalena</t>
  </si>
  <si>
    <t>OR - Sabánas (Altillanura)</t>
  </si>
  <si>
    <t>OR - Piedemonte</t>
  </si>
  <si>
    <t>CH - Sinú</t>
  </si>
  <si>
    <t>LA - Eje Cafetero</t>
  </si>
  <si>
    <t>AZ - Piedemonte amazonico</t>
  </si>
  <si>
    <t>CS - Interior</t>
  </si>
  <si>
    <t>VI - Magdalena Medio</t>
  </si>
  <si>
    <t>LA - Macizo Colombiano</t>
  </si>
  <si>
    <t>CH - Sabánas</t>
  </si>
  <si>
    <t>CH - Bajo cauca</t>
  </si>
  <si>
    <t>CS - Litoral</t>
  </si>
  <si>
    <t>LA - Cundinamarca, Boyacá, Santanderes</t>
  </si>
  <si>
    <t>AZ - Amazonía Guaviare</t>
  </si>
  <si>
    <t>AZ - Llanura Amazonica</t>
  </si>
  <si>
    <t>Costo Pacifica</t>
  </si>
  <si>
    <t>No se cuentan con datos coherentes</t>
  </si>
  <si>
    <t>Sub Regiones Maiceras Tecnificadas (&gt; 30% de producción tenificada)</t>
  </si>
  <si>
    <t>Tomado del documento de Regionalización. UPRA 2021</t>
  </si>
  <si>
    <t xml:space="preserve">Macro regiones tecnificadas </t>
  </si>
  <si>
    <t>Subregiones Maiceras</t>
  </si>
  <si>
    <t>Produccion toneladas</t>
  </si>
  <si>
    <t xml:space="preserve">Macro regiones técnificadas </t>
  </si>
  <si>
    <t>4 - VALLE</t>
  </si>
  <si>
    <t>2 - TOLIMA</t>
  </si>
  <si>
    <t>1 - COSTA</t>
  </si>
  <si>
    <t>3 - LLANOS</t>
  </si>
  <si>
    <t>Regiones Maiceras Mayores Agregadas Tecnificadas</t>
  </si>
  <si>
    <t>Cálculos Propios Experto</t>
  </si>
  <si>
    <t>% Producción Tradicional según región maicera</t>
  </si>
  <si>
    <t>Costa Pacifica</t>
  </si>
  <si>
    <t>Sub Regiones Maiceras Tradicionales (&gt; 5% de producción tradicional)</t>
  </si>
  <si>
    <t>3. Actividades Grupales</t>
  </si>
  <si>
    <t>a. Mesas de trabajo</t>
  </si>
  <si>
    <t>e. Mesas de trabajo virtual</t>
  </si>
  <si>
    <t>f. Talleres y/o eventos de divulgación nacional y/o regional virtuales</t>
  </si>
  <si>
    <t>i. Eventos Gestión y divulgación Nacional y/o Regional virtuales</t>
  </si>
  <si>
    <t>Nota: Las mesas ,eventos y talleres virtuales corresponden al 20% del valor estimado de forma presencial</t>
  </si>
  <si>
    <t>(Se calculan mesas de trabajo de 20 personas)</t>
  </si>
  <si>
    <t>Refrigerio</t>
  </si>
  <si>
    <t>Café y otros</t>
  </si>
  <si>
    <t>Costo estimado</t>
  </si>
  <si>
    <t>b. Talleres y/ o eventos de divulgación nacionales y/o regionales (Productor, transformador, comercialización)</t>
  </si>
  <si>
    <t>Se calcula asistencia 40 personas</t>
  </si>
  <si>
    <t>Auditorio</t>
  </si>
  <si>
    <t>Estación de café y otros</t>
  </si>
  <si>
    <t>Material de divulgación y promocional</t>
  </si>
  <si>
    <t>Protocolos de bioseguridad</t>
  </si>
  <si>
    <t>Talleres Nacionales</t>
  </si>
  <si>
    <t>Nota: Auditorio incluye video beam. 40 personas</t>
  </si>
  <si>
    <t>c. Mesas de trabajo</t>
  </si>
  <si>
    <t>Nota: Auditorio incluye video beam</t>
  </si>
  <si>
    <t>c. Escuelas, dias de campo, giras técnicas,  y/ o visitas,  (Productor, transformador, comercialización)</t>
  </si>
  <si>
    <t>Se calcula asistencia 20 personas</t>
  </si>
  <si>
    <t>Refrigerio e hidratación</t>
  </si>
  <si>
    <t>Almuerzo</t>
  </si>
  <si>
    <t>Materia de divulgación y promocional</t>
  </si>
  <si>
    <t>Apoyos tecnológicos y herramientas de diagnóstico</t>
  </si>
  <si>
    <t>Protocolo de bioseguridad</t>
  </si>
  <si>
    <t>Desplazamiento personas/transporte</t>
  </si>
  <si>
    <t>Se estima que las personas provean sus propios medios para llegar a los puntos de encuentro</t>
  </si>
  <si>
    <t xml:space="preserve"> Protocolo bioseguridad :Insumos/ lavado de botas/manos, tapabocas.</t>
  </si>
  <si>
    <t xml:space="preserve">d. Parcelas demostrativas o lotes modelos </t>
  </si>
  <si>
    <t xml:space="preserve"> (1ha por semestre)</t>
  </si>
  <si>
    <t>Semillas</t>
  </si>
  <si>
    <t>Abonos</t>
  </si>
  <si>
    <t>Fitosanitarios</t>
  </si>
  <si>
    <t>Labores</t>
  </si>
  <si>
    <t>Análisis de laboratorios</t>
  </si>
  <si>
    <t xml:space="preserve">h. Taller Práctico </t>
  </si>
  <si>
    <t>Salones para prácticas</t>
  </si>
  <si>
    <t>Capacitador (Viáticos y/o honorarios jornada)</t>
  </si>
  <si>
    <t>Insumos/materia prima y consumibles</t>
  </si>
  <si>
    <t>imprevistos</t>
  </si>
  <si>
    <t>Medidas de bioseguridad</t>
  </si>
  <si>
    <t xml:space="preserve">4. Tasa de cambio </t>
  </si>
  <si>
    <t>a. Tasa de cambio</t>
  </si>
  <si>
    <t>Pesos por Dólar</t>
  </si>
  <si>
    <t>Pesos Por Euro</t>
  </si>
  <si>
    <t xml:space="preserve">Promedio simple del período contemplado </t>
  </si>
  <si>
    <t xml:space="preserve"> Promedio simple anual para los años 2020 y 2021</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</si>
  <si>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</si>
  <si>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</si>
  <si>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</si>
  <si>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</si>
  <si>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</si>
  <si>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</si>
  <si>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</si>
  <si>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</si>
  <si>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</si>
  <si>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</si>
  <si>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</si>
  <si>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</si>
  <si>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</si>
  <si>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</si>
  <si>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a. Sección radiales nacionales</t>
  </si>
  <si>
    <t>Noticiero mediodía</t>
  </si>
  <si>
    <t>Noticiero 10 am</t>
  </si>
  <si>
    <t>Noticiero 6 am</t>
  </si>
  <si>
    <t>Fuente: Basada en cotizaciones de ventas@caracol.com.co, 3 de marzo 2022, https://mediakit.caracol.com.co/buscar.aspx?q=caracol</t>
  </si>
  <si>
    <t>b. Cuña Radiales Regionales (Promedio aprox)</t>
  </si>
  <si>
    <t>Rubro</t>
  </si>
  <si>
    <t>Cuña radial regional  Monteria, Sincelejo</t>
  </si>
  <si>
    <t>Cuña radial regional región 2 (Ibagué)</t>
  </si>
  <si>
    <t>Cuñas radiales regionales (Promedio aprox)</t>
  </si>
  <si>
    <t>Vallas Publicitarias</t>
  </si>
  <si>
    <t>c. Vallas Publicitarias Nacional</t>
  </si>
  <si>
    <t>d. Vallas Publicitarias Regionales</t>
  </si>
  <si>
    <t>Incluye el costo de diseño, elaboración y alquiler del sitio de publicación de la valla. Fuente. Dato experto</t>
  </si>
  <si>
    <t>Comerciales tv</t>
  </si>
  <si>
    <t>Nota. Fuente comerciales tv nacional y regional, experto.</t>
  </si>
  <si>
    <t>Pendones</t>
  </si>
  <si>
    <t>Corresponde a un conjunto de pendones</t>
  </si>
  <si>
    <t>h. Campaña Publicitaria Nacional</t>
  </si>
  <si>
    <t>Equipo organizador</t>
  </si>
  <si>
    <t>Impresos</t>
  </si>
  <si>
    <t>Secciones  radiales nacionales</t>
  </si>
  <si>
    <t>Comerciales tv nivel nacional</t>
  </si>
  <si>
    <t>Total campaña publicitaria Nacional</t>
  </si>
  <si>
    <t>Nota: Se estima 1 meses de duración</t>
  </si>
  <si>
    <t>redondeo</t>
  </si>
  <si>
    <t xml:space="preserve">i. Campañas Publicitarias Regionales </t>
  </si>
  <si>
    <t>Cuñas radiales regionales</t>
  </si>
  <si>
    <t>Comerciales tv a nivel regional</t>
  </si>
  <si>
    <t>Vallas publicitarias</t>
  </si>
  <si>
    <t>Total Campaña publicitaria Regional</t>
  </si>
  <si>
    <t>Se estima 1 mes de duración</t>
  </si>
  <si>
    <t>j. Campaña publicitaria institucional ( Nacional)</t>
  </si>
  <si>
    <t>Sección radiales nacionales</t>
  </si>
  <si>
    <t>Comerciales tv nacional</t>
  </si>
  <si>
    <t>Vallas nacionales</t>
  </si>
  <si>
    <t>Elementos de promoción y divulgación</t>
  </si>
  <si>
    <t>Total campaña publicitaria institucional</t>
  </si>
  <si>
    <t xml:space="preserve">Se estima 1 mes de duración </t>
  </si>
  <si>
    <t>k. Campaña publicitaria institucional (Regional)</t>
  </si>
  <si>
    <t>Paquete Cuñas radiales regionales</t>
  </si>
  <si>
    <t>Vallas regionales</t>
  </si>
  <si>
    <t xml:space="preserve">l. Stand Institucional </t>
  </si>
  <si>
    <t>k. Stand promoción Nacional</t>
  </si>
  <si>
    <t>l. Stand promoción regional</t>
  </si>
  <si>
    <t>Incluye diseño, mobiliario y  alquiler del espacio. Fuente Experto.</t>
  </si>
  <si>
    <t>m. Plan de Medios radial Nacional</t>
  </si>
  <si>
    <t>Ítems</t>
  </si>
  <si>
    <t>Paquete cuñas radiales nacionales</t>
  </si>
  <si>
    <t>Plan de medios Nacional</t>
  </si>
  <si>
    <t>n. Plan de Medios radial regional</t>
  </si>
  <si>
    <t>ñ. Plan de Medios radial Institucional</t>
  </si>
  <si>
    <t>6. Comercialización</t>
  </si>
  <si>
    <t>e. Mercados campesinos/circuitos cortos comercialización</t>
  </si>
  <si>
    <t>a. Rueda de negocio nacional y regional presencial</t>
  </si>
  <si>
    <t>Persona locales ( tiquete, hospedaje)</t>
  </si>
  <si>
    <t>Montaje</t>
  </si>
  <si>
    <t>Almuerzos</t>
  </si>
  <si>
    <t>Inscripciones</t>
  </si>
  <si>
    <t>Estación de café y agua</t>
  </si>
  <si>
    <t>Promoción y divulgación</t>
  </si>
  <si>
    <t xml:space="preserve">Rueda de negocio </t>
  </si>
  <si>
    <t>Se supone que la duración de la rueda son dos días, una noche. (30 asistentes)</t>
  </si>
  <si>
    <t>b Rueda de negocio  virtual</t>
  </si>
  <si>
    <t>Promoción y comunicación</t>
  </si>
  <si>
    <t xml:space="preserve">c. Participación en ferias comerciales </t>
  </si>
  <si>
    <t>Persona locales ( tiquete, hospedaje, viáticos)</t>
  </si>
  <si>
    <t>Stand  (5)</t>
  </si>
  <si>
    <t xml:space="preserve">Participación en ferias comerciales </t>
  </si>
  <si>
    <t>se estima la participación de 5 empresas o personas a la feria</t>
  </si>
  <si>
    <t>d. Participación en ferias comerciales internacionales</t>
  </si>
  <si>
    <t>Persona  ( tiquete)</t>
  </si>
  <si>
    <t xml:space="preserve">Stand </t>
  </si>
  <si>
    <t>Aprox</t>
  </si>
  <si>
    <t>se estima la participación de 5 empresas a la feria internacional, no incluye el hospedaje</t>
  </si>
  <si>
    <t>7. Capacitación, Formación y educación</t>
  </si>
  <si>
    <t xml:space="preserve"> a. Cursos cortos</t>
  </si>
  <si>
    <t>Se estima que un capacitador cobre 300.000 por cada persona capacitada, se estima un promedio de 30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</si>
  <si>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</si>
  <si>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</si>
  <si>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</si>
  <si>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</si>
  <si>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</si>
  <si>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</si>
  <si>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</si>
  <si>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</si>
  <si>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</si>
  <si>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</si>
  <si>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</si>
  <si>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</si>
  <si>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</si>
  <si>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Fuente: Experto
Nota: El valor estimado corresponde al apoyo asignado para educación, ítems d, e f.</t>
  </si>
  <si>
    <t xml:space="preserve">8. Certificaciones </t>
  </si>
  <si>
    <t>a. Certificaciones diferenciadoras</t>
  </si>
  <si>
    <t>Consultoría</t>
  </si>
  <si>
    <t>Costo Certificaciones diferenciadores</t>
  </si>
  <si>
    <t>Total costo certificaciones</t>
  </si>
  <si>
    <t>Fuente. Bureau Veritas</t>
  </si>
  <si>
    <t>9. Laboratorios de control de calidad</t>
  </si>
  <si>
    <t>Observaciones</t>
  </si>
  <si>
    <t>Fuente</t>
  </si>
  <si>
    <t>a. Análisis de suelo y elementos disponibles en la solución del suelo</t>
  </si>
  <si>
    <t>Agrilab</t>
  </si>
  <si>
    <t xml:space="preserve">b.  Análisis de calidad del grano -  Grado </t>
  </si>
  <si>
    <t>Clasificacion grano maiz consumo NTC 366</t>
  </si>
  <si>
    <t>Enzipan</t>
  </si>
  <si>
    <t xml:space="preserve">c. Analisis de Inocuidad del grano - Aflatoxinas Totales semicuantitativo </t>
  </si>
  <si>
    <t>KIT</t>
  </si>
  <si>
    <t>10 . Infraestructura</t>
  </si>
  <si>
    <t>Solución Individual para pequeño productor</t>
  </si>
  <si>
    <t>Instalación de secamiento y aquipos de almacenamiento en silobolsa (No incluye la bolsa)</t>
  </si>
  <si>
    <t>Pequeño productor (10 has con producción de 60 ton semestre, 120 año).Secamiento en albercas</t>
  </si>
  <si>
    <t>Mediano productor (Modelo para 38 productores con 28 has cada uno 1064 has, obteniendo 7400 ton por semestre) Capacidad de secamiento 200 ton dia. Secamiento en torre de flujo continuo</t>
  </si>
  <si>
    <t>Gran  productor (Modelo para 34 productores con 60 has cada uno 2044 has, obteniendo 16250 ton por semestre) Capacidad de secamiento 500 ton dia. Secamiento en torre de flujo continuo</t>
  </si>
  <si>
    <t>Tomado del documento "Caracterización y Evaluación de Alternativas Tecnológicas de Secamiento y Almacenamiento de Maíz  a Implementar en Colombia". 2014</t>
  </si>
  <si>
    <t>https://repositorio.unal.edu.co/bitstream/handle/unal/52670/29671914-Gloria.pdf?sequence=1</t>
  </si>
  <si>
    <t>Solución para esquemas asociativos</t>
  </si>
  <si>
    <t>Instalación de secamiento y almacenamiento integrada con silos metalicos</t>
  </si>
  <si>
    <t>Proyecto Fincas -  1000 TM - Atiende a 450 Has ( para 4 a 8 agricultores de 50 a 100 Has)</t>
  </si>
  <si>
    <t>Proyecto Asociativo Pequeños - 3000 TM - Atiende a 1300 Has(10 a 20 agricultores de 60 a 130 Has)</t>
  </si>
  <si>
    <t>Proyecto Asociativo Medianos - 9000 TM - Atiende a 4000 Has (20 a 30 Agricultores de 130 a 200 Has)</t>
  </si>
  <si>
    <t>Proyecto Asociativo Grandes - 27000 TM - Atiende a 12000 Has(20 a 30 agricultores de 400 a 600 has)</t>
  </si>
  <si>
    <t>US$ 300 / tonelada de capacidad instalada. Concepto de expertos INVEIN - Keppler Weber</t>
  </si>
  <si>
    <t>Basculas camioneras</t>
  </si>
  <si>
    <t xml:space="preserve">Obra civil </t>
  </si>
  <si>
    <t>Báscula Digital 80 Ton</t>
  </si>
  <si>
    <t>Ricardo Garcia 3116453265 Prometalicos</t>
  </si>
  <si>
    <t>Infraestructura en procesamiento de maiz</t>
  </si>
  <si>
    <t>Trilladora Pequeña 50 k</t>
  </si>
  <si>
    <t>Trilladora Mediana 100 kilos</t>
  </si>
  <si>
    <t>Trilladora Grande 200 kilos</t>
  </si>
  <si>
    <t>Cotizacion Fabricantes Bucaramanga</t>
  </si>
  <si>
    <t>Planta para secamiento, almacenamiento y producción de harinas precocidas</t>
  </si>
  <si>
    <t>Planta de transformación con capacidad instalada para la producción de 12.000 toneladas al año. Infraestructura de Recibo, secado y almacenado (capacidad de secamiento de 45 ton/h y capacidad de almacenamiento de 4 silos de 3000 m3 y 6 silos de 1500 m3). Subestación eléctrica 400 kva</t>
  </si>
  <si>
    <t>Terreno (5 hectáreas) Obras Civiles Adecuación oficina</t>
  </si>
  <si>
    <t xml:space="preserve">Tomado del documento PLA DE NEGOCIOS - PRODUCCIÓN DE HARINAS PRECOCIDAS DE MAÍZ - FENALCE - STARCO - 2007. Incrementados en 70%
</t>
  </si>
  <si>
    <t xml:space="preserve">10 . Incentivos </t>
  </si>
  <si>
    <t xml:space="preserve">Incentivo comisión FAG contratos 1.1 </t>
  </si>
  <si>
    <t>Has promedio de maiz  tecnificado año</t>
  </si>
  <si>
    <t>Productividad ( ton por ha)</t>
  </si>
  <si>
    <t>Toneladas de maiz</t>
  </si>
  <si>
    <t>20% producción con suscripción de contratos</t>
  </si>
  <si>
    <t>Valor comercial de una tonelada de maíz</t>
  </si>
  <si>
    <t>Valor contratos</t>
  </si>
  <si>
    <t>comisión FAG</t>
  </si>
  <si>
    <t>Registro BMC vendedor</t>
  </si>
  <si>
    <t>Costos garantia  FAG  y registro BMC de contratos forward sin administración de garantías</t>
  </si>
  <si>
    <t>Incentivo Valor Agregado  1.2</t>
  </si>
  <si>
    <t xml:space="preserve">UVT (Unidad de Valor Tributario- DIAN 2022) </t>
  </si>
  <si>
    <t>Empresas Manufactureras</t>
  </si>
  <si>
    <t>Clasificación DIAN</t>
  </si>
  <si>
    <t>Valor de los ingresos</t>
  </si>
  <si>
    <t>%  estimado para valor agregado</t>
  </si>
  <si>
    <t>Valor estimado</t>
  </si>
  <si>
    <t xml:space="preserve">% Estimado para apoyo valor agregado </t>
  </si>
  <si>
    <t>Incentivo</t>
  </si>
  <si>
    <t xml:space="preserve">Microempresas </t>
  </si>
  <si>
    <t>Pequeñas Empresas</t>
  </si>
  <si>
    <t>Medianas Empresas</t>
  </si>
  <si>
    <t xml:space="preserve">ICR Compra cal dolomita  has de maiz 2.1 </t>
  </si>
  <si>
    <t>ha / año</t>
  </si>
  <si>
    <t>ton / ha</t>
  </si>
  <si>
    <t>ton / año</t>
  </si>
  <si>
    <t>Has año maiz</t>
  </si>
  <si>
    <t>Valor Cal $ / ton</t>
  </si>
  <si>
    <t>Valor Estimado crédito</t>
  </si>
  <si>
    <t>LEC Maquinaria- 2.1</t>
  </si>
  <si>
    <t>Has  a intervenir</t>
  </si>
  <si>
    <t>Cada kit de maquinaia para 400 has</t>
  </si>
  <si>
    <t>Total Kits</t>
  </si>
  <si>
    <t xml:space="preserve">Maquinaria Proyecto 2.1 </t>
  </si>
  <si>
    <t>Tractores siembra 190  hp</t>
  </si>
  <si>
    <t>Sembradora- abonadora 12 lineas ( 50 cmts) Neumática, con tasa variable</t>
  </si>
  <si>
    <t>Implementos  de labranza (desborsadoras, arados de cincel, escarificadores)</t>
  </si>
  <si>
    <t>Abonadora  autopropulzada</t>
  </si>
  <si>
    <t>Pulverizadoras autopropulzada</t>
  </si>
  <si>
    <t>Cosechadoras /(230.240hp). Con monitor de rendimiento</t>
  </si>
  <si>
    <t>Cabezal maicero</t>
  </si>
  <si>
    <t xml:space="preserve">Tolvas Graneleras </t>
  </si>
  <si>
    <t>Total Kit</t>
  </si>
  <si>
    <t>Fuente: Soya Maiz- Proyecto pais. 2021</t>
  </si>
  <si>
    <t>Proyecto 3.1 Capital de trabajo para comercialización  o procesamiento</t>
  </si>
  <si>
    <t>Valor promedio tonelada de maiz en el mercado</t>
  </si>
  <si>
    <t xml:space="preserve">Cantidad  a comercializar por una asociación </t>
  </si>
  <si>
    <t>Valor 500 toneladas de maíz</t>
  </si>
  <si>
    <t>Cantidad de creditos</t>
  </si>
  <si>
    <t>Incentivo ICR para el montaje de plantas de secamiento y almacenamiento 3.3</t>
  </si>
  <si>
    <t>Meta Prospectiva de capacidad instalada de secamiento y almacenamiento ton</t>
  </si>
  <si>
    <t>Período ( 19 años)</t>
  </si>
  <si>
    <t>Capaciadad instalada requerida por año</t>
  </si>
  <si>
    <t xml:space="preserve">Fuente. Dato experto </t>
  </si>
  <si>
    <t>Descrpcion</t>
  </si>
  <si>
    <t>Capacidad total de almacenamiento
TM</t>
  </si>
  <si>
    <t># de silos</t>
  </si>
  <si>
    <t>Capacidad por silo
TM</t>
  </si>
  <si>
    <t>Capacidad Torre de Secamiento
TM / Dia</t>
  </si>
  <si>
    <t>Cantidad almacenada / Cosechada</t>
  </si>
  <si>
    <t>Rendimiento regional 
Ton / Ha</t>
  </si>
  <si>
    <t>Hectareas atendidas</t>
  </si>
  <si>
    <r>
      <t xml:space="preserve">Producto </t>
    </r>
    <r>
      <rPr>
        <b/>
        <sz val="11"/>
        <color rgb="FF0070C0"/>
        <rFont val="Arial"/>
        <family val="2"/>
      </rPr>
      <t xml:space="preserve">Procesado </t>
    </r>
    <r>
      <rPr>
        <sz val="11"/>
        <color theme="1"/>
        <rFont val="Arial"/>
        <family val="2"/>
      </rPr>
      <t>Ton</t>
    </r>
  </si>
  <si>
    <t>Valor total de la planta UUSD)</t>
  </si>
  <si>
    <t>Valor unitario USD/ton</t>
  </si>
  <si>
    <t>Valor unitario en pesos por tonelada</t>
  </si>
  <si>
    <t>Distribución cantidad almacenada por tipo de proyecto</t>
  </si>
  <si>
    <t>Proyecto Finqueros 
(para 4 a 8 agricultores de 50 a 100 Has)</t>
  </si>
  <si>
    <t>Proyecto Asociativo Pequeños 
(10 a 20 agricultores de 60 a 130 Has)</t>
  </si>
  <si>
    <t>Proyecto Asociativo Medianos
(20 a 30 Agricultores de 130 a 200 Has)</t>
  </si>
  <si>
    <t>Proyecto Asociativo Grandes 
(20 a 30 agricultores de 400 a 600 has)</t>
  </si>
  <si>
    <t>Equipos e infraestructura requerida para el montaje de una planta de Poscosecha de acuerdo a su capacidad</t>
  </si>
  <si>
    <t>35 Ton/dia</t>
  </si>
  <si>
    <t>100 Ton/dia</t>
  </si>
  <si>
    <t>300 Ton/dia</t>
  </si>
  <si>
    <t>600 Ton/dia</t>
  </si>
  <si>
    <t>Equipos de Importacion</t>
  </si>
  <si>
    <t>Equipos Nacionales</t>
  </si>
  <si>
    <t xml:space="preserve">Importacion </t>
  </si>
  <si>
    <t>Obra Civil</t>
  </si>
  <si>
    <t>Electrico</t>
  </si>
  <si>
    <t>Vr. TOTAL</t>
  </si>
  <si>
    <t>Promoción  al emprendimiento P. 3.3 , 3.4, 3.5, 8.1</t>
  </si>
  <si>
    <t xml:space="preserve">%  estimado para formalización </t>
  </si>
  <si>
    <t xml:space="preserve">Valor estimado para formalización </t>
  </si>
  <si>
    <t xml:space="preserve">% Estimado para formalización </t>
  </si>
  <si>
    <t xml:space="preserve">4.2. LEC adecuación de tierras para uso agropecuario </t>
  </si>
  <si>
    <t>Has de maiz</t>
  </si>
  <si>
    <t>Con crédito para adecuación de tierras</t>
  </si>
  <si>
    <t>has sujeto de credito</t>
  </si>
  <si>
    <t>$ / Ha</t>
  </si>
  <si>
    <t>Incentivo (tecnologías limpias) 5.1</t>
  </si>
  <si>
    <t xml:space="preserve">%  estimado para  nuevas empresas </t>
  </si>
  <si>
    <t>Valor estimado para nuevas empresas</t>
  </si>
  <si>
    <t>% Estimado para apoyo por tipo de empresa</t>
  </si>
  <si>
    <t>Incentivo/crédito</t>
  </si>
  <si>
    <t>Incentivo vivienda P.6.1</t>
  </si>
  <si>
    <t>Valor vivienda rural</t>
  </si>
  <si>
    <t>% cuota inicial</t>
  </si>
  <si>
    <t>Valor global subsidiado</t>
  </si>
  <si>
    <t>Valor promedio servicios públicos hogar P.6.1</t>
  </si>
  <si>
    <t>Incentivo servicios públicos</t>
  </si>
  <si>
    <t>Incentivo a las TICs 6.1 y 6.2</t>
  </si>
  <si>
    <t>Valor Tablet</t>
  </si>
  <si>
    <t>Incentivo conectividad 6.1</t>
  </si>
  <si>
    <t>Valor pago servicio internet anual</t>
  </si>
  <si>
    <t xml:space="preserve">Incentivo a las Unidades Productoras  6.3 </t>
  </si>
  <si>
    <t>Preparación de suelo y encalado</t>
  </si>
  <si>
    <t>Semillas hibrida</t>
  </si>
  <si>
    <t xml:space="preserve">Asistencia técnica para unidades productoras sistema tecnificado 6.3 </t>
  </si>
  <si>
    <t>Promedio UPA Maiz Tradicional</t>
  </si>
  <si>
    <t>Persona requerido por UPA</t>
  </si>
  <si>
    <t xml:space="preserve">Costo Persona por UPA </t>
  </si>
  <si>
    <t>Costo persona 8 Meses</t>
  </si>
  <si>
    <t>Has Maiz Tradicional</t>
  </si>
  <si>
    <t>Has asistidas por UPA promedio</t>
  </si>
  <si>
    <t>Promoción  al emprendimiento P. 6.4</t>
  </si>
  <si>
    <t>Incentivo Modular. Proyecto 5</t>
  </si>
  <si>
    <t xml:space="preserve">Valor costo ha de tierra 7.2 </t>
  </si>
  <si>
    <t>has</t>
  </si>
  <si>
    <t>Incentivo a la formalización de la tierra pequeños</t>
  </si>
  <si>
    <t>Se estima un 5% para documentos</t>
  </si>
  <si>
    <t>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la cual se calculó para una producción anual de 54.000 toneladas de maíz, derivadas de las 30.000 has nuevas sembradas durante los 20 años del desarrollo del POP. Se supuso un valor por tonelada de maíz de 1.000.000 por tonelada,  y se estimó que el porcentaje de comisión del FAG es del 3.75% y el registro en la BMC del vendedor es de 0.04% del valor de la negociación, lo que arroja un valor de $37.900 por tonelada de maíz registrada en la BMC, valor que se estima sea asumido por el estado  durante los cinco primeros años .  Se deja por definir  otras formas de aumento.</t>
  </si>
  <si>
    <t xml:space="preserve">Se estiman 6 mesas de trabajo presencial y 6 virtuales, pago anual a plataformas de información y base de datos,  se estima 2 visitas de consultores internacionales con tiquetes y viáticos para profundizar sobre temas de mercado en otros países de referencia, se estima la creación de un incentivo al valor agregado para pequeñas y medianas empresas, el cual se calculó teniendo en cuenta el valor de los ingresos de micro y pequeñas empresas, de acuerdo a la clasificación de la Dian, a la cual se le estimó un porcentaje del 10% y 5% del valor anual de los ingresos estimados y a este resultado se le calculó el 10% y el 5%  para hallar un valor de apoyo para la generación de valor agregado para micro y pequeñas empresas de $8.954.883 y $19,476.575 respectivamente, para 8  microempresas  y 4 pequeñas empresas en las regiones a intervenir. Se estimaron 5 talleres y/o eventos de divulgación nacionales y regionales por región a intervenir, tanto presencial como virtual, se estimó la realización de 2 ferias comerciales por región a intervenir, ruedas de negocios presenciales y virtuales por región, se estiman certificaciones diferenciadoras por región a intervenir, campaña publicitaria nacional, campañas publicitarias por región a intervenir, 2 stand de promoción y divulgación por zonas a intervenir, pautas en redes sociales por región, plan de medios radiales a nivel regional, cursos cortos presenciales y virtuales a nivel regional ( 2 por región a intervenir),  se calcula un equipo humano para los proyectos 1.1 y 1.2  a nivel nacional con un salario promedio de $7.862.772 y su desplazamiento a región, se estima también un personal en región con un sueldo promedio de $3.931.384 y rodamiento de $1.300.000 para el desplazamiento en región y apoyos tecnológicos.  Se deja por definir  otros mecanismos de posicionamiento. </t>
  </si>
  <si>
    <t>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 crear un  incentivo del 40% a la adecuación química de suelos durante los primeros 10 años,  para la siembra de 30.000 has nuevas por año,  con  la aplicación de 5 t/h de Cal dolomita, es decir 150.000 toneladas anuales,  con un costo de $100.000 por tonelada. Para modernizar la  maquinaria, se propone asignar recursos de 30% de ICR durante 10 año para la compra  de 75 kits-núcleos de 400 has de capacidad, es decir para la mecanización de  30.000 has, cuyo costo por kit es de $2.570.750.000 según estudio realizado en la iniciativa Soya Maíz - Proyecto País 2021 . El  cual consta de: tractor de 190 hp, sembradora abonadora de 12 lineas, neumática con tasa variable, implementos de labranza (desborsadora, arados de cincel, escarificadores, abondora autopropulsada, cosechadora combinada de 240 hp de rotor axial con monitor de rendimiento, cabezal maicero y tolvas graneleras. Se propone crear un incentivo a la tasa o ampliar los recursos del LEC, que subsidie el 7.5% del interés del valor del crédito, durante el paríodo 12 al 20 para la compra  de 75 kits-núcleos de 400 has de capacidad, es decir para la mecanización de  30.000 has, cuyo costo por kit es de $2.570.750.000 según estudio realizado en la iniciativa Soya Maíz - Proyecto País 2021 .</t>
  </si>
  <si>
    <t>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estima  la construcción anual de 157,895 toneladas de capacidad instalada de infraestructura de secamiento y almacenamiento, para completar con en 19 años una capacidad de 3.000.000 de toneladas. De esta cantidad se estima que el  10% sea para pequeños productores, es decir 15.789, el 40% para  pequeños productores asociados, es decir 63.158 ton y el 30% restante para medianos productores asociados es decir 47.368  ton,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a lo cual se estima inyectar recursos para apoyar un 20% de ICR para el montaje de plantas de secamiento y almacenamiento.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t>
  </si>
  <si>
    <t>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de apoyo LEC de adecuación de tierras para uso agropecuario, en un 30% de las 30.000 ha/año nuevas, es decir 9.000 ha/año, durante 10 años. Se estima un ICR del 20% para soluciones individuales en riego, de las 30.000 ha/año nuevas, un 5% anual, es decir 1.500 ha/año, del año 2 al año 20,  con un valor estimado de $7.994.184/ha (USD 2.150 a una tasa de cambio de $3.718); este valor corresponde a un sistema de riego por pivote que incluye equipos, y no incluye mano de obra, ni infraestructura para captación de aguas. Se considera "Por definir" Otros tipos de captación, almacenamiento y aprovechamiento de agua, y otras formas de promoción</t>
  </si>
  <si>
    <t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20 años, también se estimó un incentivo a las Tics por un valor de $300.000 que corresponde a la donación de una Tablet que se costea en $300.00 para el 30% de las familias durante 20 años, cada año se estima apoyar a 590 familias. También se estima un incentivo a la conectividad para apoyar la misma cantidad de familias del proyecto anterior, es decir 590 familias año por un valor de $600.000 el cual se calculó para pagar el servicio de internet por un año.  Se estima un valor material promocional de $10 millones por región.  Se estima un equipo humano a nivel nacional de 2 personas  con un valor promedio de $7.862.772 por diez meses, una persona por cada región con un valor promedio de $2.516.084 con su respectivo rodamiento por un período de 8 meses. </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</si>
  <si>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de 2 personas con un valor promedio de $7.862.772 por diez meses, una persona por cada región con un valor promedio de $2.516.084 con su respectivo rodamiento por un período de 8 meses.  La cantidad necesaria de asistentes técnicos se calculó suponiendo que 170.000 has requieren asistencia técnica, y anualmente disminuyen en un 6% las hectáreas a intervenir, hasta llegar a 54.000 has en el año 20 del plan, cada año se da asistencia técnica al 50% de las has de manera presencial, el restante se hace de manera virtual. Se supone que una persona asiste 3 has en promedio,  se estima un salario incluido rodamiento por un valor de $4.316.484, lo cual nos da el valor de las personas por 8 meses.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</si>
  <si>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propone la creación de un incentivo a la unidad productiva basados, el valor estimado se basa en el supuesto de proveer insumos para sembrar una hectárea de maíz tradicional de manera óptima, que es un valor de $1.610.000 por familia, se estima intervenir al 30% de las familias durante le desarrollo del plan, es decir  590 familias año. Este valor es decreciente en el tiempo, ya que se estima tecnificar las has de maiz intervenidas. Se estima un equipo humano a nivel nacional y en región, de 2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</si>
  <si>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propone la creación de un incentivo a la formalización dirigido a pequeños productores, el cual se calcula en $1.610.000 , que corresponde al valor de una ha de maíz tradicional, y se estima para cubrir apoyos en asesoría, documentación. Se propone la creación de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para un valor del incentivo de $8.954.883, se estima apoyar a 10 pequeños productores por región.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</si>
  <si>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ste valor se halla suponiendo el costo de una hectarea en 20 millones y se supone un promedio de 3 has para un total de 60 millones, a lo cual se propone un incentivo del 5% del valor comercial de su predio.  Se estima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t>
  </si>
  <si>
    <t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"Por definir" la implementación del modelo I+D+i y otras formas de fortalecimiento. </t>
  </si>
  <si>
    <t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se proyecta el apoyo de cuatro laboratorios los primeros dos años de ejecución del proyecto para abarcar las regiones priorizadas en maíz tecnificado.  Se estima laboratorios para control de calidad de alimentos, con las licencias y certificaciones correspondientes, e incluye la adecuación física de las intalaciones para su instalación y el mobiliario. El costo estimado es de $97,240,000 en la infraestructura y dotación de equipos, de $45,100,000 en adecuación de instalaciones mobiliario y de $45,100.000 en las licencias y certificaciones, para un total de $187.440,000 por laboratorio. Se estima el equipamiento de 4 laboratorios durante el desarrollo del plan para las macroregiones tecnificadas.El proyecto contempla acciones para el diseño de la estrategia financiera y otras formas de fortalecimiento que se deja por definir, considerando el nivel de información con que se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</si>
</sst>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_-* #,##0.0_-;\-* #,##0.0_-;_-* &quot;-&quot;_-;_-@_-"/>
    <numFmt numFmtId="168" formatCode="[$USD]\ #,##0"/>
  </numFmts>
  <fonts count="3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2"/>
      <color theme="1"/>
      <name val="Arial"/>
      <family val="2"/>
    </font>
    <font>
      <sz val="11"/>
      <color theme="8" tint="0.39997558519241921"/>
      <name val="Arial"/>
      <family val="2"/>
    </font>
    <font>
      <sz val="12"/>
      <color theme="1"/>
      <name val="Calibri"/>
      <family val="2"/>
      <scheme val="minor"/>
    </font>
    <font>
      <b/>
      <sz val="11"/>
      <color indexed="8"/>
      <name val="Arial"/>
      <family val="2"/>
    </font>
    <font>
      <sz val="11"/>
      <color theme="6" tint="-0.249977111117893"/>
      <name val="Arial"/>
      <family val="2"/>
    </font>
    <font>
      <u/>
      <sz val="11"/>
      <color theme="10"/>
      <name val="Calibri"/>
      <family val="2"/>
      <scheme val="minor"/>
    </font>
    <font>
      <b/>
      <sz val="11"/>
      <name val="Arial"/>
      <family val="2"/>
    </font>
    <font>
      <sz val="11"/>
      <color rgb="FFFF0000"/>
      <name val="Arial"/>
      <family val="2"/>
    </font>
    <font>
      <sz val="10"/>
      <name val="Arial"/>
      <family val="2"/>
    </font>
    <font>
      <sz val="11"/>
      <color theme="4"/>
      <name val="Arial"/>
      <family val="2"/>
    </font>
    <font>
      <sz val="12"/>
      <color rgb="FFFF0000"/>
      <name val="Arial"/>
      <family val="2"/>
    </font>
    <font>
      <b/>
      <sz val="11"/>
      <color rgb="FFFF0000"/>
      <name val="Arial"/>
      <family val="2"/>
    </font>
    <font>
      <b/>
      <sz val="11"/>
      <color rgb="FF000000"/>
      <name val="Arial"/>
      <family val="2"/>
    </font>
    <font>
      <b/>
      <sz val="11"/>
      <color theme="1" tint="0.14999847407452621"/>
      <name val="Arial"/>
      <family val="2"/>
    </font>
    <font>
      <sz val="11"/>
      <color theme="5"/>
      <name val="Arial"/>
      <family val="2"/>
    </font>
    <font>
      <sz val="10"/>
      <color theme="1"/>
      <name val="Arial"/>
      <family val="2"/>
    </font>
    <font>
      <b/>
      <sz val="12"/>
      <color theme="0"/>
      <name val="Arial Black"/>
      <family val="2"/>
    </font>
    <font>
      <sz val="10"/>
      <color theme="1" tint="0.14999847407452621"/>
      <name val="Arial"/>
      <family val="2"/>
    </font>
    <font>
      <sz val="11"/>
      <color theme="1" tint="0.14999847407452621"/>
      <name val="Arial"/>
      <family val="2"/>
    </font>
    <font>
      <b/>
      <sz val="12"/>
      <color theme="1"/>
      <name val="Arial"/>
      <family val="2"/>
    </font>
    <font>
      <b/>
      <sz val="12"/>
      <name val="Arial"/>
      <family val="2"/>
    </font>
    <font>
      <b/>
      <sz val="11"/>
      <color theme="1" tint="0.249977111117893"/>
      <name val="Arial"/>
      <family val="2"/>
    </font>
    <font>
      <sz val="11"/>
      <color theme="1" tint="0.249977111117893"/>
      <name val="Arial"/>
      <family val="2"/>
    </font>
    <font>
      <sz val="8"/>
      <name val="Calibri"/>
      <family val="2"/>
      <scheme val="minor"/>
    </font>
    <font>
      <b/>
      <sz val="14"/>
      <color theme="1"/>
      <name val="Arial"/>
      <family val="2"/>
    </font>
    <font>
      <b/>
      <sz val="14"/>
      <color theme="1"/>
      <name val="Calibri"/>
      <family val="2"/>
      <scheme val="minor"/>
    </font>
    <font>
      <sz val="9"/>
      <name val="Arial"/>
      <family val="2"/>
    </font>
    <font>
      <b/>
      <sz val="11"/>
      <color rgb="FF333333"/>
      <name val="Arial"/>
      <family val="2"/>
    </font>
    <font>
      <sz val="11"/>
      <color rgb="FF333333"/>
      <name val="Arial"/>
      <family val="2"/>
    </font>
    <font>
      <u/>
      <sz val="11"/>
      <color theme="10"/>
      <name val="Arial"/>
      <family val="2"/>
    </font>
    <font>
      <sz val="8"/>
      <color theme="1"/>
      <name val="Arial"/>
      <family val="2"/>
    </font>
    <font>
      <sz val="11"/>
      <color rgb="FF000000"/>
      <name val="Arial"/>
      <family val="2"/>
    </font>
    <font>
      <b/>
      <sz val="11"/>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59999389629810485"/>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s>
  <cellStyleXfs count="61">
    <xf numFmtId="0" fontId="0" fillId="0" borderId="0"/>
    <xf numFmtId="44" fontId="1" fillId="0" borderId="0" applyFont="0" applyFill="0" applyBorder="0" applyAlignment="0" applyProtection="0"/>
    <xf numFmtId="0" fontId="1" fillId="0" borderId="0"/>
    <xf numFmtId="0" fontId="7" fillId="0" borderId="0"/>
    <xf numFmtId="0" fontId="1"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 fillId="0" borderId="0"/>
    <xf numFmtId="9" fontId="7" fillId="0" borderId="0" applyFont="0" applyFill="0" applyBorder="0" applyAlignment="0" applyProtection="0"/>
    <xf numFmtId="0" fontId="1" fillId="0" borderId="0"/>
    <xf numFmtId="43" fontId="7" fillId="0" borderId="0" applyFont="0" applyFill="0" applyBorder="0" applyAlignment="0" applyProtection="0"/>
    <xf numFmtId="41"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0" fontId="1" fillId="0" borderId="0"/>
    <xf numFmtId="0" fontId="7" fillId="0" borderId="0"/>
    <xf numFmtId="0" fontId="13"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0" fillId="0" borderId="0" applyNumberFormat="0" applyFill="0" applyBorder="0" applyAlignment="0" applyProtection="0"/>
  </cellStyleXfs>
  <cellXfs count="728">
    <xf numFmtId="0" fontId="0" fillId="0" borderId="0" xfId="0"/>
    <xf numFmtId="0" fontId="2" fillId="2" borderId="0" xfId="2" applyFont="1" applyFill="1"/>
    <xf numFmtId="0" fontId="2" fillId="2" borderId="0" xfId="2" applyFont="1" applyFill="1" applyAlignment="1">
      <alignment wrapText="1"/>
    </xf>
    <xf numFmtId="0" fontId="3" fillId="2" borderId="0" xfId="2" applyFont="1" applyFill="1"/>
    <xf numFmtId="0" fontId="2" fillId="2" borderId="0" xfId="2" applyFont="1" applyFill="1" applyAlignment="1">
      <alignment horizontal="left" wrapText="1"/>
    </xf>
    <xf numFmtId="0" fontId="2" fillId="2" borderId="0" xfId="2" applyFont="1" applyFill="1" applyAlignment="1">
      <alignment horizontal="left"/>
    </xf>
    <xf numFmtId="0" fontId="2" fillId="0" borderId="0" xfId="2" applyFont="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horizontal="left" vertical="center"/>
    </xf>
    <xf numFmtId="0" fontId="2" fillId="0" borderId="0" xfId="2" applyFont="1" applyAlignment="1">
      <alignment horizontal="justify" vertical="center" wrapText="1"/>
    </xf>
    <xf numFmtId="0" fontId="3" fillId="0" borderId="8" xfId="2" applyFont="1" applyBorder="1" applyAlignment="1">
      <alignment horizontal="center" vertical="center"/>
    </xf>
    <xf numFmtId="0" fontId="3" fillId="0" borderId="11" xfId="2" applyFont="1" applyBorder="1" applyAlignment="1">
      <alignment horizontal="center" vertical="center" wrapText="1"/>
    </xf>
    <xf numFmtId="0" fontId="4" fillId="0" borderId="8" xfId="2" applyFont="1" applyBorder="1" applyAlignment="1">
      <alignment horizontal="justify" vertical="center" wrapText="1"/>
    </xf>
    <xf numFmtId="0" fontId="3" fillId="0" borderId="8" xfId="2" applyFont="1" applyBorder="1" applyAlignment="1">
      <alignment horizontal="center" vertical="center" wrapText="1"/>
    </xf>
    <xf numFmtId="0" fontId="2" fillId="0" borderId="8" xfId="2" applyFont="1" applyBorder="1" applyAlignment="1">
      <alignment horizontal="justify" vertical="center" wrapText="1"/>
    </xf>
    <xf numFmtId="0" fontId="2" fillId="2" borderId="0" xfId="2" applyFont="1" applyFill="1" applyAlignment="1">
      <alignment vertical="center"/>
    </xf>
    <xf numFmtId="0" fontId="3" fillId="0" borderId="8" xfId="2" applyFont="1" applyBorder="1" applyAlignment="1">
      <alignment horizontal="center"/>
    </xf>
    <xf numFmtId="0" fontId="3" fillId="0" borderId="8" xfId="2" applyFont="1" applyBorder="1" applyAlignment="1">
      <alignment horizontal="left" vertical="center" wrapText="1"/>
    </xf>
    <xf numFmtId="0" fontId="2" fillId="0" borderId="8" xfId="2" applyFont="1" applyBorder="1" applyAlignment="1">
      <alignment vertical="center" wrapText="1"/>
    </xf>
    <xf numFmtId="0" fontId="3" fillId="0" borderId="11" xfId="2" applyFont="1" applyBorder="1" applyAlignment="1">
      <alignment horizontal="center" vertical="center"/>
    </xf>
    <xf numFmtId="0" fontId="2" fillId="0" borderId="8" xfId="2" applyFont="1" applyBorder="1" applyAlignment="1">
      <alignment horizontal="left" vertical="center" wrapText="1"/>
    </xf>
    <xf numFmtId="0" fontId="3" fillId="2" borderId="8" xfId="2" applyFont="1" applyFill="1" applyBorder="1" applyAlignment="1">
      <alignment horizontal="center" vertical="center" wrapText="1"/>
    </xf>
    <xf numFmtId="0" fontId="2" fillId="2" borderId="8" xfId="2" applyFont="1" applyFill="1" applyBorder="1" applyAlignment="1">
      <alignment vertical="center" wrapText="1"/>
    </xf>
    <xf numFmtId="0" fontId="3" fillId="2" borderId="8" xfId="2" applyFont="1" applyFill="1" applyBorder="1" applyAlignment="1">
      <alignment horizontal="center" vertical="center"/>
    </xf>
    <xf numFmtId="0" fontId="2" fillId="2" borderId="8" xfId="2" applyFont="1" applyFill="1" applyBorder="1" applyAlignment="1">
      <alignment horizontal="justify" vertical="center" wrapText="1"/>
    </xf>
    <xf numFmtId="0" fontId="2" fillId="0" borderId="0" xfId="3" applyFont="1"/>
    <xf numFmtId="0" fontId="2" fillId="0" borderId="0" xfId="2" applyFont="1"/>
    <xf numFmtId="0" fontId="2" fillId="0" borderId="0" xfId="3" applyFont="1" applyAlignment="1">
      <alignment horizontal="center"/>
    </xf>
    <xf numFmtId="0" fontId="2" fillId="0" borderId="0" xfId="2" applyFont="1" applyAlignment="1">
      <alignment horizontal="center" vertical="center" wrapText="1"/>
    </xf>
    <xf numFmtId="0" fontId="2" fillId="2" borderId="0" xfId="3" applyFont="1" applyFill="1"/>
    <xf numFmtId="0" fontId="2" fillId="2" borderId="0" xfId="3" applyFont="1" applyFill="1" applyAlignment="1">
      <alignment horizontal="center"/>
    </xf>
    <xf numFmtId="0" fontId="3" fillId="0" borderId="0" xfId="3" applyFont="1" applyAlignment="1">
      <alignment horizontal="center" vertical="center" wrapText="1"/>
    </xf>
    <xf numFmtId="10" fontId="9" fillId="0" borderId="0" xfId="2" applyNumberFormat="1" applyFont="1" applyAlignment="1">
      <alignment horizontal="center"/>
    </xf>
    <xf numFmtId="0" fontId="2" fillId="0" borderId="17" xfId="3" applyFont="1" applyBorder="1"/>
    <xf numFmtId="0" fontId="2" fillId="0" borderId="0" xfId="3" applyFont="1" applyAlignment="1">
      <alignment vertical="top" wrapText="1"/>
    </xf>
    <xf numFmtId="0" fontId="2" fillId="0" borderId="0" xfId="2" applyFont="1" applyAlignment="1">
      <alignment wrapText="1"/>
    </xf>
    <xf numFmtId="0" fontId="2" fillId="0" borderId="0" xfId="2" applyFont="1" applyAlignment="1">
      <alignment horizontal="justify" vertical="center"/>
    </xf>
    <xf numFmtId="0" fontId="2" fillId="0" borderId="0" xfId="4" applyFont="1"/>
    <xf numFmtId="0" fontId="2" fillId="2" borderId="0" xfId="4" applyFont="1" applyFill="1"/>
    <xf numFmtId="0" fontId="2" fillId="0" borderId="8" xfId="4" applyFont="1" applyBorder="1"/>
    <xf numFmtId="0" fontId="2" fillId="0" borderId="0" xfId="4" applyFont="1" applyAlignment="1">
      <alignment horizontal="center"/>
    </xf>
    <xf numFmtId="0" fontId="4" fillId="0" borderId="8" xfId="4" applyFont="1" applyBorder="1"/>
    <xf numFmtId="0" fontId="2" fillId="0" borderId="0" xfId="4" applyFont="1" applyAlignment="1">
      <alignment wrapText="1"/>
    </xf>
    <xf numFmtId="164" fontId="4" fillId="0" borderId="8" xfId="4" applyNumberFormat="1" applyFont="1" applyBorder="1"/>
    <xf numFmtId="164" fontId="2" fillId="0" borderId="0" xfId="8" applyNumberFormat="1" applyFont="1"/>
    <xf numFmtId="164" fontId="2" fillId="0" borderId="8" xfId="8" applyNumberFormat="1" applyFont="1" applyBorder="1"/>
    <xf numFmtId="164" fontId="2" fillId="0" borderId="8" xfId="4" applyNumberFormat="1" applyFont="1" applyBorder="1"/>
    <xf numFmtId="0" fontId="4" fillId="2" borderId="8" xfId="4" applyFont="1" applyFill="1" applyBorder="1"/>
    <xf numFmtId="0" fontId="2" fillId="0" borderId="8" xfId="4" applyFont="1" applyBorder="1" applyAlignment="1">
      <alignment horizontal="left"/>
    </xf>
    <xf numFmtId="0" fontId="2" fillId="2" borderId="8" xfId="4" applyFont="1" applyFill="1" applyBorder="1"/>
    <xf numFmtId="0" fontId="3" fillId="2" borderId="0" xfId="4" applyFont="1" applyFill="1"/>
    <xf numFmtId="164" fontId="2" fillId="0" borderId="8" xfId="9" applyNumberFormat="1" applyFont="1" applyBorder="1"/>
    <xf numFmtId="41" fontId="2" fillId="0" borderId="8" xfId="15" applyFont="1" applyBorder="1"/>
    <xf numFmtId="164" fontId="2" fillId="0" borderId="0" xfId="18" applyNumberFormat="1" applyFont="1"/>
    <xf numFmtId="164" fontId="2" fillId="0" borderId="8" xfId="18" applyNumberFormat="1" applyFont="1" applyBorder="1"/>
    <xf numFmtId="164" fontId="4" fillId="0" borderId="8" xfId="18" applyNumberFormat="1" applyFont="1" applyBorder="1"/>
    <xf numFmtId="0" fontId="2" fillId="0" borderId="0" xfId="3" applyFont="1" applyAlignment="1">
      <alignment wrapText="1"/>
    </xf>
    <xf numFmtId="0" fontId="2" fillId="0" borderId="8" xfId="4" applyFont="1" applyBorder="1" applyAlignment="1">
      <alignment wrapText="1"/>
    </xf>
    <xf numFmtId="0" fontId="3" fillId="0" borderId="0" xfId="4" applyFont="1"/>
    <xf numFmtId="0" fontId="17" fillId="0" borderId="0" xfId="4" applyFont="1"/>
    <xf numFmtId="0" fontId="17" fillId="6" borderId="0" xfId="4" applyFont="1" applyFill="1"/>
    <xf numFmtId="0" fontId="2" fillId="6" borderId="0" xfId="4" applyFont="1" applyFill="1"/>
    <xf numFmtId="0" fontId="2" fillId="7" borderId="0" xfId="4" applyFont="1" applyFill="1"/>
    <xf numFmtId="0" fontId="3" fillId="0" borderId="8" xfId="4" applyFont="1" applyBorder="1" applyAlignment="1">
      <alignment horizontal="center"/>
    </xf>
    <xf numFmtId="0" fontId="3" fillId="8" borderId="8" xfId="4" applyFont="1" applyFill="1" applyBorder="1" applyAlignment="1">
      <alignment horizontal="center"/>
    </xf>
    <xf numFmtId="0" fontId="18" fillId="8" borderId="8" xfId="4" applyFont="1" applyFill="1" applyBorder="1" applyAlignment="1">
      <alignment horizontal="center" vertical="center"/>
    </xf>
    <xf numFmtId="3" fontId="3" fillId="8" borderId="8" xfId="4" applyNumberFormat="1" applyFont="1" applyFill="1" applyBorder="1" applyAlignment="1">
      <alignment horizontal="center"/>
    </xf>
    <xf numFmtId="3" fontId="2" fillId="0" borderId="0" xfId="4" applyNumberFormat="1" applyFont="1" applyAlignment="1">
      <alignment horizontal="center"/>
    </xf>
    <xf numFmtId="0" fontId="4" fillId="2" borderId="0" xfId="4" applyFont="1" applyFill="1"/>
    <xf numFmtId="0" fontId="4" fillId="2" borderId="8" xfId="4" applyFont="1" applyFill="1" applyBorder="1" applyAlignment="1">
      <alignment horizontal="justify" vertical="center" wrapText="1"/>
    </xf>
    <xf numFmtId="165" fontId="4" fillId="2" borderId="8" xfId="7" applyNumberFormat="1" applyFont="1" applyFill="1" applyBorder="1" applyAlignment="1">
      <alignment horizontal="right" vertical="center"/>
    </xf>
    <xf numFmtId="0" fontId="4" fillId="2" borderId="0" xfId="4" applyFont="1" applyFill="1" applyAlignment="1">
      <alignment horizontal="center" vertical="center"/>
    </xf>
    <xf numFmtId="165" fontId="3" fillId="8" borderId="8" xfId="10" applyNumberFormat="1" applyFont="1" applyFill="1" applyBorder="1" applyAlignment="1">
      <alignment horizontal="center"/>
    </xf>
    <xf numFmtId="0" fontId="3" fillId="2" borderId="0" xfId="4" applyFont="1" applyFill="1" applyAlignment="1">
      <alignment horizontal="center"/>
    </xf>
    <xf numFmtId="165" fontId="3" fillId="2" borderId="0" xfId="10" applyNumberFormat="1" applyFont="1" applyFill="1" applyBorder="1" applyAlignment="1">
      <alignment horizontal="center"/>
    </xf>
    <xf numFmtId="165" fontId="14" fillId="2" borderId="0" xfId="10" applyNumberFormat="1" applyFont="1" applyFill="1" applyBorder="1" applyAlignment="1">
      <alignment horizontal="center"/>
    </xf>
    <xf numFmtId="0" fontId="2" fillId="2" borderId="0" xfId="4" applyFont="1" applyFill="1" applyAlignment="1">
      <alignment horizontal="center"/>
    </xf>
    <xf numFmtId="0" fontId="3" fillId="2" borderId="0" xfId="4" applyFont="1" applyFill="1" applyAlignment="1">
      <alignment horizontal="left" wrapText="1"/>
    </xf>
    <xf numFmtId="3" fontId="2" fillId="2" borderId="0" xfId="4" applyNumberFormat="1" applyFont="1" applyFill="1"/>
    <xf numFmtId="0" fontId="3" fillId="9" borderId="8" xfId="4" applyFont="1" applyFill="1" applyBorder="1" applyAlignment="1">
      <alignment horizontal="center"/>
    </xf>
    <xf numFmtId="164" fontId="3" fillId="9" borderId="8" xfId="9" applyNumberFormat="1" applyFont="1" applyFill="1" applyBorder="1" applyAlignment="1">
      <alignment horizontal="center"/>
    </xf>
    <xf numFmtId="165" fontId="2" fillId="0" borderId="0" xfId="4" applyNumberFormat="1" applyFont="1"/>
    <xf numFmtId="164" fontId="4" fillId="0" borderId="8" xfId="8" applyNumberFormat="1" applyFont="1" applyBorder="1"/>
    <xf numFmtId="3" fontId="2" fillId="0" borderId="8" xfId="4" applyNumberFormat="1" applyFont="1" applyBorder="1"/>
    <xf numFmtId="164" fontId="2" fillId="2" borderId="0" xfId="8" applyNumberFormat="1" applyFont="1" applyFill="1"/>
    <xf numFmtId="164" fontId="14" fillId="2" borderId="0" xfId="8" applyNumberFormat="1" applyFont="1" applyFill="1"/>
    <xf numFmtId="0" fontId="3" fillId="9" borderId="8" xfId="4" applyFont="1" applyFill="1" applyBorder="1" applyAlignment="1">
      <alignment horizontal="left"/>
    </xf>
    <xf numFmtId="0" fontId="2" fillId="9" borderId="8" xfId="4" applyFont="1" applyFill="1" applyBorder="1"/>
    <xf numFmtId="3" fontId="2" fillId="9" borderId="8" xfId="4" applyNumberFormat="1" applyFont="1" applyFill="1" applyBorder="1"/>
    <xf numFmtId="165" fontId="3" fillId="9" borderId="9" xfId="10" applyNumberFormat="1" applyFont="1" applyFill="1" applyBorder="1" applyAlignment="1">
      <alignment horizontal="center"/>
    </xf>
    <xf numFmtId="0" fontId="2" fillId="0" borderId="12" xfId="3" applyFont="1" applyBorder="1" applyAlignment="1">
      <alignment wrapText="1"/>
    </xf>
    <xf numFmtId="164" fontId="3" fillId="0" borderId="0" xfId="9" applyNumberFormat="1" applyFont="1" applyBorder="1"/>
    <xf numFmtId="0" fontId="19" fillId="2" borderId="0" xfId="4" applyFont="1" applyFill="1"/>
    <xf numFmtId="0" fontId="19" fillId="0" borderId="0" xfId="4" applyFont="1"/>
    <xf numFmtId="9" fontId="2" fillId="2" borderId="8" xfId="28" applyFont="1" applyFill="1" applyBorder="1"/>
    <xf numFmtId="3" fontId="4" fillId="0" borderId="8" xfId="4" applyNumberFormat="1" applyFont="1" applyBorder="1"/>
    <xf numFmtId="0" fontId="2" fillId="2" borderId="8" xfId="4" applyFont="1" applyFill="1" applyBorder="1" applyAlignment="1">
      <alignment wrapText="1"/>
    </xf>
    <xf numFmtId="9" fontId="2" fillId="2" borderId="8" xfId="4" applyNumberFormat="1" applyFont="1" applyFill="1" applyBorder="1"/>
    <xf numFmtId="9" fontId="2" fillId="0" borderId="8" xfId="4" applyNumberFormat="1" applyFont="1" applyBorder="1"/>
    <xf numFmtId="165" fontId="3" fillId="9" borderId="8" xfId="7" applyNumberFormat="1" applyFont="1" applyFill="1" applyBorder="1" applyAlignment="1">
      <alignment horizontal="center"/>
    </xf>
    <xf numFmtId="0" fontId="4" fillId="2" borderId="0" xfId="4" applyFont="1" applyFill="1" applyAlignment="1">
      <alignment horizontal="justify" wrapText="1"/>
    </xf>
    <xf numFmtId="164" fontId="20" fillId="0" borderId="0" xfId="8" applyNumberFormat="1" applyFont="1" applyAlignment="1">
      <alignment horizontal="justify" wrapText="1"/>
    </xf>
    <xf numFmtId="0" fontId="2" fillId="0" borderId="0" xfId="4" applyFont="1"/>
    <xf numFmtId="0" fontId="2" fillId="2" borderId="0" xfId="4" applyFont="1" applyFill="1"/>
    <xf numFmtId="0" fontId="2" fillId="0" borderId="8" xfId="4" applyFont="1" applyBorder="1"/>
    <xf numFmtId="0" fontId="4" fillId="0" borderId="8" xfId="4" applyFont="1" applyBorder="1"/>
    <xf numFmtId="0" fontId="2" fillId="0" borderId="0" xfId="4" applyFont="1" applyAlignment="1">
      <alignment vertical="center"/>
    </xf>
    <xf numFmtId="0" fontId="2" fillId="0" borderId="0" xfId="4" applyFont="1" applyBorder="1"/>
    <xf numFmtId="0" fontId="4" fillId="0" borderId="8" xfId="4" applyFont="1" applyBorder="1" applyAlignment="1">
      <alignment horizontal="center"/>
    </xf>
    <xf numFmtId="3" fontId="2" fillId="0" borderId="8" xfId="4" applyNumberFormat="1" applyFont="1" applyBorder="1"/>
    <xf numFmtId="0" fontId="2" fillId="0" borderId="0" xfId="3" applyFont="1" applyAlignment="1">
      <alignment wrapText="1"/>
    </xf>
    <xf numFmtId="0" fontId="3" fillId="2" borderId="0" xfId="4" applyFont="1" applyFill="1" applyAlignment="1">
      <alignment horizontal="left" wrapText="1"/>
    </xf>
    <xf numFmtId="0" fontId="2" fillId="0" borderId="0" xfId="3" applyFont="1" applyAlignment="1">
      <alignment wrapText="1"/>
    </xf>
    <xf numFmtId="0" fontId="3" fillId="2" borderId="0" xfId="4" applyFont="1" applyFill="1" applyAlignment="1">
      <alignment horizontal="left" wrapText="1"/>
    </xf>
    <xf numFmtId="165" fontId="4" fillId="2" borderId="8" xfId="7" applyNumberFormat="1" applyFont="1" applyFill="1" applyBorder="1" applyAlignment="1">
      <alignment horizontal="center" vertical="center"/>
    </xf>
    <xf numFmtId="165" fontId="3" fillId="9" borderId="8" xfId="10" applyNumberFormat="1" applyFont="1" applyFill="1" applyBorder="1" applyAlignment="1">
      <alignment horizontal="center"/>
    </xf>
    <xf numFmtId="164" fontId="2" fillId="0" borderId="0" xfId="4" applyNumberFormat="1" applyFont="1"/>
    <xf numFmtId="164" fontId="2" fillId="0" borderId="12" xfId="18" applyNumberFormat="1" applyFont="1" applyBorder="1" applyAlignment="1">
      <alignment wrapText="1"/>
    </xf>
    <xf numFmtId="1" fontId="4" fillId="0" borderId="8" xfId="4" applyNumberFormat="1" applyFont="1" applyBorder="1"/>
    <xf numFmtId="41" fontId="4" fillId="0" borderId="8" xfId="4" applyNumberFormat="1" applyFont="1" applyBorder="1"/>
    <xf numFmtId="0" fontId="4" fillId="0" borderId="8" xfId="51" applyFont="1" applyBorder="1"/>
    <xf numFmtId="0" fontId="4" fillId="0" borderId="8" xfId="52" applyFont="1" applyBorder="1"/>
    <xf numFmtId="0" fontId="2" fillId="0" borderId="12" xfId="4" applyFont="1" applyBorder="1"/>
    <xf numFmtId="0" fontId="2" fillId="2" borderId="0" xfId="4" applyFont="1" applyFill="1" applyAlignment="1">
      <alignment wrapText="1"/>
    </xf>
    <xf numFmtId="0" fontId="2" fillId="0" borderId="8" xfId="51" applyFont="1" applyBorder="1"/>
    <xf numFmtId="0" fontId="2" fillId="2" borderId="8" xfId="51" applyFont="1" applyFill="1" applyBorder="1" applyAlignment="1">
      <alignment wrapText="1"/>
    </xf>
    <xf numFmtId="0" fontId="2" fillId="2" borderId="8" xfId="51" applyFont="1" applyFill="1" applyBorder="1"/>
    <xf numFmtId="3" fontId="2" fillId="2" borderId="8" xfId="51" applyNumberFormat="1" applyFont="1" applyFill="1" applyBorder="1"/>
    <xf numFmtId="9" fontId="2" fillId="0" borderId="8" xfId="51" applyNumberFormat="1" applyFont="1" applyBorder="1"/>
    <xf numFmtId="164" fontId="2" fillId="0" borderId="8" xfId="51" applyNumberFormat="1" applyFont="1" applyBorder="1"/>
    <xf numFmtId="0" fontId="2" fillId="0" borderId="8" xfId="53" applyFont="1" applyBorder="1"/>
    <xf numFmtId="0" fontId="13" fillId="2" borderId="0" xfId="4" applyFont="1" applyFill="1" applyAlignment="1">
      <alignment horizontal="justify" vertical="top"/>
    </xf>
    <xf numFmtId="0" fontId="13" fillId="2" borderId="12" xfId="4" applyFont="1" applyFill="1" applyBorder="1" applyAlignment="1">
      <alignment horizontal="justify" vertical="top" wrapText="1"/>
    </xf>
    <xf numFmtId="44" fontId="2" fillId="0" borderId="8" xfId="1" applyFont="1" applyBorder="1"/>
    <xf numFmtId="0" fontId="22" fillId="2" borderId="26" xfId="0" applyFont="1" applyFill="1" applyBorder="1" applyAlignment="1">
      <alignment horizontal="center" vertical="center"/>
    </xf>
    <xf numFmtId="0" fontId="2" fillId="0" borderId="0" xfId="3" applyFont="1" applyBorder="1" applyAlignment="1">
      <alignment wrapText="1"/>
    </xf>
    <xf numFmtId="0" fontId="2" fillId="2" borderId="0" xfId="4" applyFont="1" applyFill="1" applyBorder="1"/>
    <xf numFmtId="164" fontId="2" fillId="2" borderId="8" xfId="18" applyNumberFormat="1" applyFont="1" applyFill="1" applyBorder="1"/>
    <xf numFmtId="164" fontId="2" fillId="2" borderId="0" xfId="18" applyNumberFormat="1" applyFont="1" applyFill="1"/>
    <xf numFmtId="3" fontId="3" fillId="9" borderId="8" xfId="4" applyNumberFormat="1" applyFont="1" applyFill="1" applyBorder="1"/>
    <xf numFmtId="164" fontId="4" fillId="0" borderId="8" xfId="8" applyNumberFormat="1" applyFont="1" applyBorder="1" applyAlignment="1">
      <alignment horizontal="right"/>
    </xf>
    <xf numFmtId="165" fontId="2" fillId="0" borderId="0" xfId="1" applyNumberFormat="1" applyFont="1" applyBorder="1" applyAlignment="1">
      <alignment wrapText="1"/>
    </xf>
    <xf numFmtId="0" fontId="3" fillId="11" borderId="8" xfId="4" applyFont="1" applyFill="1" applyBorder="1" applyAlignment="1">
      <alignment horizontal="left"/>
    </xf>
    <xf numFmtId="0" fontId="2" fillId="12" borderId="8" xfId="4" applyFont="1" applyFill="1" applyBorder="1"/>
    <xf numFmtId="0" fontId="4" fillId="2" borderId="8" xfId="4" applyFont="1" applyFill="1" applyBorder="1" applyAlignment="1">
      <alignment horizontal="center" vertical="center" wrapText="1"/>
    </xf>
    <xf numFmtId="164" fontId="4" fillId="2" borderId="8" xfId="4" applyNumberFormat="1" applyFont="1" applyFill="1" applyBorder="1" applyAlignment="1">
      <alignment horizontal="center" vertical="center"/>
    </xf>
    <xf numFmtId="165" fontId="4" fillId="2" borderId="8" xfId="7" applyNumberFormat="1" applyFont="1" applyFill="1" applyBorder="1" applyAlignment="1">
      <alignment vertical="center"/>
    </xf>
    <xf numFmtId="164" fontId="4" fillId="0" borderId="8" xfId="8" applyNumberFormat="1" applyFont="1" applyFill="1" applyBorder="1"/>
    <xf numFmtId="9" fontId="2" fillId="2" borderId="0" xfId="54" applyFont="1" applyFill="1"/>
    <xf numFmtId="41" fontId="4" fillId="0" borderId="8" xfId="55" applyFont="1" applyFill="1" applyBorder="1"/>
    <xf numFmtId="3" fontId="2" fillId="2" borderId="8" xfId="4" applyNumberFormat="1" applyFont="1" applyFill="1" applyBorder="1"/>
    <xf numFmtId="164" fontId="4" fillId="2" borderId="8" xfId="8" applyNumberFormat="1" applyFont="1" applyFill="1" applyBorder="1"/>
    <xf numFmtId="0" fontId="2" fillId="11" borderId="0" xfId="3" applyFont="1" applyFill="1" applyAlignment="1">
      <alignment wrapText="1"/>
    </xf>
    <xf numFmtId="0" fontId="2" fillId="11" borderId="0" xfId="4" applyFont="1" applyFill="1"/>
    <xf numFmtId="165" fontId="3" fillId="11" borderId="8" xfId="7" applyNumberFormat="1" applyFont="1" applyFill="1" applyBorder="1" applyAlignment="1">
      <alignment horizontal="center"/>
    </xf>
    <xf numFmtId="0" fontId="2" fillId="11" borderId="8" xfId="4" applyFont="1" applyFill="1" applyBorder="1"/>
    <xf numFmtId="3" fontId="2" fillId="11" borderId="8" xfId="4" applyNumberFormat="1" applyFont="1" applyFill="1" applyBorder="1"/>
    <xf numFmtId="0" fontId="3" fillId="12" borderId="8" xfId="4" applyFont="1" applyFill="1" applyBorder="1" applyAlignment="1">
      <alignment horizontal="left"/>
    </xf>
    <xf numFmtId="3" fontId="2" fillId="12" borderId="8" xfId="4" applyNumberFormat="1" applyFont="1" applyFill="1" applyBorder="1"/>
    <xf numFmtId="165" fontId="3" fillId="12" borderId="8" xfId="7" applyNumberFormat="1" applyFont="1" applyFill="1" applyBorder="1" applyAlignment="1">
      <alignment horizontal="center"/>
    </xf>
    <xf numFmtId="3" fontId="2" fillId="0" borderId="0" xfId="4" applyNumberFormat="1" applyFont="1"/>
    <xf numFmtId="41" fontId="2" fillId="0" borderId="0" xfId="55" applyFont="1"/>
    <xf numFmtId="0" fontId="2" fillId="2" borderId="8" xfId="53" applyFont="1" applyFill="1" applyBorder="1" applyAlignment="1">
      <alignment horizontal="left"/>
    </xf>
    <xf numFmtId="0" fontId="23" fillId="2" borderId="8" xfId="57" applyFont="1" applyFill="1" applyBorder="1" applyAlignment="1">
      <alignment vertical="center"/>
    </xf>
    <xf numFmtId="0" fontId="4" fillId="0" borderId="0" xfId="3" applyFont="1" applyBorder="1" applyAlignment="1">
      <alignment horizontal="justify" vertical="top" wrapText="1"/>
    </xf>
    <xf numFmtId="164" fontId="3" fillId="5" borderId="8" xfId="18" applyNumberFormat="1" applyFont="1" applyFill="1" applyBorder="1" applyAlignment="1">
      <alignment vertical="center" wrapText="1"/>
    </xf>
    <xf numFmtId="164" fontId="26" fillId="9" borderId="8" xfId="18" applyNumberFormat="1" applyFont="1" applyFill="1" applyBorder="1" applyAlignment="1">
      <alignment vertical="center" wrapText="1"/>
    </xf>
    <xf numFmtId="164" fontId="2" fillId="0" borderId="0" xfId="18" applyNumberFormat="1" applyFont="1" applyBorder="1"/>
    <xf numFmtId="0" fontId="29" fillId="0" borderId="0" xfId="18" applyNumberFormat="1" applyFont="1" applyAlignment="1">
      <alignment horizontal="center" wrapText="1"/>
    </xf>
    <xf numFmtId="0" fontId="30" fillId="0" borderId="0" xfId="0" applyNumberFormat="1" applyFont="1" applyAlignment="1">
      <alignment horizontal="center" wrapText="1"/>
    </xf>
    <xf numFmtId="164" fontId="25" fillId="13" borderId="8" xfId="18" applyNumberFormat="1" applyFont="1" applyFill="1" applyBorder="1" applyAlignment="1">
      <alignment vertical="center" wrapText="1"/>
    </xf>
    <xf numFmtId="0" fontId="17" fillId="6" borderId="0" xfId="4" applyFont="1" applyFill="1" applyAlignment="1">
      <alignment vertical="center"/>
    </xf>
    <xf numFmtId="0" fontId="3" fillId="8" borderId="8" xfId="4" applyFont="1" applyFill="1" applyBorder="1" applyAlignment="1">
      <alignment horizontal="center" vertical="center"/>
    </xf>
    <xf numFmtId="165" fontId="3" fillId="8" borderId="8" xfId="1" applyNumberFormat="1" applyFont="1" applyFill="1" applyBorder="1" applyAlignment="1">
      <alignment horizontal="center" vertical="center"/>
    </xf>
    <xf numFmtId="3" fontId="2" fillId="0" borderId="0" xfId="4" applyNumberFormat="1" applyFont="1" applyAlignment="1">
      <alignment horizontal="center" vertical="center"/>
    </xf>
    <xf numFmtId="0" fontId="2" fillId="0" borderId="0" xfId="4" applyFont="1" applyAlignment="1">
      <alignment horizontal="center" vertical="center"/>
    </xf>
    <xf numFmtId="165" fontId="3" fillId="8" borderId="8" xfId="10" applyNumberFormat="1" applyFont="1" applyFill="1" applyBorder="1" applyAlignment="1">
      <alignment horizontal="center" vertical="center"/>
    </xf>
    <xf numFmtId="0" fontId="3" fillId="9" borderId="8" xfId="4" applyFont="1" applyFill="1" applyBorder="1" applyAlignment="1">
      <alignment horizontal="center" vertical="center"/>
    </xf>
    <xf numFmtId="164" fontId="3" fillId="9" borderId="8" xfId="9" applyNumberFormat="1" applyFont="1" applyFill="1" applyBorder="1" applyAlignment="1">
      <alignment horizontal="center" vertical="center"/>
    </xf>
    <xf numFmtId="165" fontId="2" fillId="0" borderId="0" xfId="4" applyNumberFormat="1" applyFont="1" applyAlignment="1">
      <alignment vertical="center"/>
    </xf>
    <xf numFmtId="0" fontId="23" fillId="0" borderId="8" xfId="13" applyFont="1" applyBorder="1" applyAlignment="1">
      <alignment vertical="center"/>
    </xf>
    <xf numFmtId="0" fontId="23" fillId="2" borderId="8" xfId="13" applyFont="1" applyFill="1" applyBorder="1" applyAlignment="1">
      <alignment vertical="center"/>
    </xf>
    <xf numFmtId="0" fontId="3" fillId="9" borderId="8" xfId="4" applyFont="1" applyFill="1" applyBorder="1" applyAlignment="1">
      <alignment horizontal="left" vertical="center"/>
    </xf>
    <xf numFmtId="0" fontId="2" fillId="9" borderId="8" xfId="4" applyFont="1" applyFill="1" applyBorder="1" applyAlignment="1">
      <alignment vertical="center"/>
    </xf>
    <xf numFmtId="3" fontId="2" fillId="9" borderId="8" xfId="4" applyNumberFormat="1" applyFont="1" applyFill="1" applyBorder="1" applyAlignment="1">
      <alignment vertical="center"/>
    </xf>
    <xf numFmtId="165" fontId="3" fillId="9" borderId="8" xfId="10" applyNumberFormat="1" applyFont="1" applyFill="1" applyBorder="1" applyAlignment="1">
      <alignment horizontal="center" vertical="center"/>
    </xf>
    <xf numFmtId="0" fontId="2" fillId="2" borderId="0" xfId="4" applyFont="1" applyFill="1" applyAlignment="1">
      <alignment vertical="center"/>
    </xf>
    <xf numFmtId="0" fontId="4" fillId="2" borderId="0" xfId="4" applyFont="1" applyFill="1" applyAlignment="1">
      <alignment horizontal="justify" vertical="center" wrapText="1"/>
    </xf>
    <xf numFmtId="164" fontId="2" fillId="0" borderId="8" xfId="18" applyNumberFormat="1" applyFont="1" applyBorder="1" applyAlignment="1">
      <alignment horizontal="right" vertical="center"/>
    </xf>
    <xf numFmtId="3" fontId="4" fillId="2" borderId="8" xfId="4" applyNumberFormat="1" applyFont="1" applyFill="1" applyBorder="1"/>
    <xf numFmtId="164" fontId="4" fillId="0" borderId="8" xfId="4" applyNumberFormat="1" applyFont="1" applyBorder="1" applyAlignment="1">
      <alignment vertical="center"/>
    </xf>
    <xf numFmtId="165" fontId="3" fillId="9" borderId="8" xfId="7" applyNumberFormat="1" applyFont="1" applyFill="1" applyBorder="1" applyAlignment="1">
      <alignment horizontal="center" vertical="center"/>
    </xf>
    <xf numFmtId="164" fontId="2" fillId="0" borderId="0" xfId="8" applyNumberFormat="1" applyFont="1" applyAlignment="1">
      <alignment vertical="center"/>
    </xf>
    <xf numFmtId="9" fontId="2" fillId="0" borderId="0" xfId="4" applyNumberFormat="1" applyFont="1"/>
    <xf numFmtId="164" fontId="2" fillId="0" borderId="0" xfId="18" applyNumberFormat="1" applyFont="1" applyAlignment="1">
      <alignment vertical="center"/>
    </xf>
    <xf numFmtId="9" fontId="2" fillId="0" borderId="0" xfId="54" applyFont="1" applyAlignment="1">
      <alignment vertical="center"/>
    </xf>
    <xf numFmtId="164" fontId="2" fillId="2" borderId="8" xfId="8" applyNumberFormat="1" applyFont="1" applyFill="1" applyBorder="1"/>
    <xf numFmtId="0" fontId="4" fillId="2" borderId="12" xfId="4" applyFont="1" applyFill="1" applyBorder="1" applyAlignment="1">
      <alignment horizontal="justify" vertical="center" wrapText="1"/>
    </xf>
    <xf numFmtId="165" fontId="4" fillId="2" borderId="8" xfId="1" applyNumberFormat="1" applyFont="1" applyFill="1" applyBorder="1" applyAlignment="1">
      <alignment horizontal="center" vertical="center"/>
    </xf>
    <xf numFmtId="0" fontId="23" fillId="2" borderId="8" xfId="57" applyFont="1" applyFill="1" applyBorder="1" applyAlignment="1">
      <alignment vertical="center" wrapText="1"/>
    </xf>
    <xf numFmtId="3" fontId="4" fillId="2" borderId="8" xfId="3" applyNumberFormat="1" applyFont="1" applyFill="1" applyBorder="1"/>
    <xf numFmtId="0" fontId="4" fillId="2" borderId="0" xfId="4" applyFont="1" applyFill="1" applyAlignment="1">
      <alignment horizontal="justify" vertical="center"/>
    </xf>
    <xf numFmtId="0" fontId="26" fillId="9" borderId="8" xfId="18" applyNumberFormat="1" applyFont="1" applyFill="1" applyBorder="1" applyAlignment="1">
      <alignment vertical="center" wrapText="1"/>
    </xf>
    <xf numFmtId="0" fontId="2" fillId="0" borderId="0" xfId="18" applyNumberFormat="1" applyFont="1"/>
    <xf numFmtId="0" fontId="27" fillId="2" borderId="8" xfId="18" applyNumberFormat="1" applyFont="1" applyFill="1" applyBorder="1" applyAlignment="1">
      <alignment vertical="center" wrapText="1"/>
    </xf>
    <xf numFmtId="0" fontId="27" fillId="2" borderId="8" xfId="18" applyNumberFormat="1" applyFont="1" applyFill="1" applyBorder="1" applyAlignment="1">
      <alignment vertical="justify" wrapText="1"/>
    </xf>
    <xf numFmtId="0" fontId="27" fillId="2" borderId="11" xfId="18" applyNumberFormat="1" applyFont="1" applyFill="1" applyBorder="1" applyAlignment="1">
      <alignment vertical="center" wrapText="1"/>
    </xf>
    <xf numFmtId="0" fontId="25" fillId="13" borderId="8" xfId="18" applyNumberFormat="1" applyFont="1" applyFill="1" applyBorder="1" applyAlignment="1">
      <alignment vertical="center" wrapText="1"/>
    </xf>
    <xf numFmtId="0" fontId="5" fillId="2" borderId="0" xfId="18" applyNumberFormat="1" applyFont="1" applyFill="1" applyBorder="1"/>
    <xf numFmtId="9" fontId="4" fillId="0" borderId="8" xfId="4" applyNumberFormat="1" applyFont="1" applyBorder="1"/>
    <xf numFmtId="0" fontId="4" fillId="2" borderId="0" xfId="4" applyFont="1" applyFill="1" applyBorder="1" applyAlignment="1">
      <alignment horizontal="justify" wrapText="1"/>
    </xf>
    <xf numFmtId="164" fontId="2" fillId="0" borderId="0" xfId="13" applyNumberFormat="1" applyFont="1" applyBorder="1"/>
    <xf numFmtId="0" fontId="13" fillId="2" borderId="0" xfId="4" applyFont="1" applyFill="1" applyBorder="1" applyAlignment="1">
      <alignment horizontal="justify" vertical="top" wrapText="1"/>
    </xf>
    <xf numFmtId="3" fontId="3" fillId="13" borderId="8" xfId="4" applyNumberFormat="1" applyFont="1" applyFill="1" applyBorder="1"/>
    <xf numFmtId="3" fontId="3" fillId="9" borderId="24" xfId="4" applyNumberFormat="1" applyFont="1" applyFill="1" applyBorder="1"/>
    <xf numFmtId="0" fontId="3" fillId="9" borderId="8" xfId="3" applyFont="1" applyFill="1" applyBorder="1" applyAlignment="1">
      <alignment horizontal="center" wrapText="1"/>
    </xf>
    <xf numFmtId="164" fontId="24" fillId="5" borderId="8" xfId="8" applyNumberFormat="1" applyFont="1" applyFill="1" applyBorder="1" applyAlignment="1">
      <alignment horizontal="center" vertical="center" wrapText="1"/>
    </xf>
    <xf numFmtId="10" fontId="2" fillId="0" borderId="8" xfId="54" applyNumberFormat="1" applyFont="1" applyBorder="1"/>
    <xf numFmtId="0" fontId="4" fillId="0" borderId="0" xfId="3" applyFont="1" applyAlignment="1">
      <alignment horizontal="justify" vertical="top" wrapText="1"/>
    </xf>
    <xf numFmtId="0" fontId="4" fillId="2" borderId="0" xfId="4" applyFont="1" applyFill="1" applyAlignment="1">
      <alignment horizontal="justify" vertical="top" wrapText="1"/>
    </xf>
    <xf numFmtId="0" fontId="2" fillId="0" borderId="0" xfId="3" applyFont="1" applyAlignment="1">
      <alignment wrapText="1"/>
    </xf>
    <xf numFmtId="0" fontId="29" fillId="0" borderId="0" xfId="18" applyNumberFormat="1" applyFont="1" applyAlignment="1">
      <alignment horizontal="center" wrapText="1"/>
    </xf>
    <xf numFmtId="0" fontId="30" fillId="0" borderId="0" xfId="0" applyNumberFormat="1" applyFont="1" applyAlignment="1">
      <alignment horizontal="center" wrapText="1"/>
    </xf>
    <xf numFmtId="0" fontId="21" fillId="10" borderId="26" xfId="50" applyFont="1" applyFill="1" applyBorder="1" applyAlignment="1">
      <alignment horizontal="center" vertical="center" wrapText="1"/>
    </xf>
    <xf numFmtId="0" fontId="21" fillId="10" borderId="26" xfId="50" applyFont="1" applyFill="1" applyBorder="1" applyAlignment="1">
      <alignment horizontal="center" vertical="center"/>
    </xf>
    <xf numFmtId="0" fontId="5" fillId="2" borderId="0" xfId="50" applyFont="1" applyFill="1"/>
    <xf numFmtId="0" fontId="5" fillId="2" borderId="0" xfId="50" applyFont="1" applyFill="1" applyAlignment="1">
      <alignment horizontal="left"/>
    </xf>
    <xf numFmtId="0" fontId="11" fillId="0" borderId="0" xfId="4" applyFont="1"/>
    <xf numFmtId="0" fontId="4" fillId="0" borderId="0" xfId="4" applyFont="1"/>
    <xf numFmtId="0" fontId="11" fillId="2" borderId="0" xfId="4" applyFont="1" applyFill="1"/>
    <xf numFmtId="0" fontId="11" fillId="6" borderId="0" xfId="4" applyFont="1" applyFill="1"/>
    <xf numFmtId="0" fontId="4" fillId="6" borderId="0" xfId="4" applyFont="1" applyFill="1"/>
    <xf numFmtId="0" fontId="4" fillId="7" borderId="0" xfId="4" applyFont="1" applyFill="1"/>
    <xf numFmtId="0" fontId="11" fillId="0" borderId="8" xfId="4" applyFont="1" applyBorder="1" applyAlignment="1">
      <alignment horizontal="center"/>
    </xf>
    <xf numFmtId="0" fontId="11" fillId="8" borderId="8" xfId="4" applyFont="1" applyFill="1" applyBorder="1" applyAlignment="1">
      <alignment horizontal="center"/>
    </xf>
    <xf numFmtId="0" fontId="11" fillId="8" borderId="8" xfId="4" applyFont="1" applyFill="1" applyBorder="1" applyAlignment="1">
      <alignment horizontal="center" vertical="center"/>
    </xf>
    <xf numFmtId="3" fontId="11" fillId="8" borderId="8" xfId="4" applyNumberFormat="1" applyFont="1" applyFill="1" applyBorder="1" applyAlignment="1">
      <alignment horizontal="center"/>
    </xf>
    <xf numFmtId="3" fontId="4" fillId="0" borderId="0" xfId="4" applyNumberFormat="1" applyFont="1" applyAlignment="1">
      <alignment horizontal="center"/>
    </xf>
    <xf numFmtId="0" fontId="4" fillId="0" borderId="0" xfId="4" applyFont="1" applyAlignment="1">
      <alignment horizontal="center"/>
    </xf>
    <xf numFmtId="165" fontId="11" fillId="8" borderId="8" xfId="10" applyNumberFormat="1" applyFont="1" applyFill="1" applyBorder="1" applyAlignment="1">
      <alignment horizontal="center"/>
    </xf>
    <xf numFmtId="0" fontId="11" fillId="2" borderId="0" xfId="4" applyFont="1" applyFill="1" applyAlignment="1">
      <alignment horizontal="center"/>
    </xf>
    <xf numFmtId="165" fontId="11" fillId="2" borderId="0" xfId="10" applyNumberFormat="1" applyFont="1" applyFill="1" applyBorder="1" applyAlignment="1">
      <alignment horizontal="center"/>
    </xf>
    <xf numFmtId="165" fontId="4" fillId="2" borderId="0" xfId="10" applyNumberFormat="1" applyFont="1" applyFill="1" applyBorder="1" applyAlignment="1">
      <alignment horizontal="center"/>
    </xf>
    <xf numFmtId="0" fontId="4" fillId="2" borderId="0" xfId="4" applyFont="1" applyFill="1" applyAlignment="1">
      <alignment horizontal="center"/>
    </xf>
    <xf numFmtId="0" fontId="11" fillId="2" borderId="0" xfId="4" applyFont="1" applyFill="1" applyAlignment="1">
      <alignment horizontal="left" wrapText="1"/>
    </xf>
    <xf numFmtId="3" fontId="4" fillId="2" borderId="0" xfId="4" applyNumberFormat="1" applyFont="1" applyFill="1"/>
    <xf numFmtId="0" fontId="11" fillId="9" borderId="8" xfId="4" applyFont="1" applyFill="1" applyBorder="1" applyAlignment="1">
      <alignment horizontal="center"/>
    </xf>
    <xf numFmtId="164" fontId="11" fillId="9" borderId="8" xfId="9" applyNumberFormat="1" applyFont="1" applyFill="1" applyBorder="1" applyAlignment="1">
      <alignment horizontal="center"/>
    </xf>
    <xf numFmtId="165" fontId="4" fillId="0" borderId="0" xfId="4" applyNumberFormat="1" applyFont="1"/>
    <xf numFmtId="0" fontId="4" fillId="0" borderId="8" xfId="4" applyFont="1" applyBorder="1" applyAlignment="1">
      <alignment horizontal="center" vertical="center"/>
    </xf>
    <xf numFmtId="0" fontId="4" fillId="0" borderId="8" xfId="4" applyFont="1" applyBorder="1" applyAlignment="1">
      <alignment horizontal="left" vertical="center"/>
    </xf>
    <xf numFmtId="164" fontId="4" fillId="0" borderId="8" xfId="8" applyNumberFormat="1" applyFont="1" applyBorder="1" applyAlignment="1">
      <alignment horizontal="right" vertical="center"/>
    </xf>
    <xf numFmtId="3" fontId="4" fillId="0" borderId="8" xfId="4" applyNumberFormat="1" applyFont="1" applyBorder="1" applyAlignment="1">
      <alignment horizontal="right" vertical="center"/>
    </xf>
    <xf numFmtId="0" fontId="4" fillId="0" borderId="8" xfId="0" applyFont="1" applyBorder="1" applyAlignment="1">
      <alignment horizontal="center"/>
    </xf>
    <xf numFmtId="0" fontId="4" fillId="0" borderId="8" xfId="0" applyFont="1" applyBorder="1" applyAlignment="1">
      <alignment horizontal="left"/>
    </xf>
    <xf numFmtId="3" fontId="4" fillId="0" borderId="8" xfId="0" applyNumberFormat="1" applyFont="1" applyBorder="1"/>
    <xf numFmtId="9" fontId="4" fillId="2" borderId="8" xfId="54" applyFont="1" applyFill="1" applyBorder="1"/>
    <xf numFmtId="3" fontId="4" fillId="0" borderId="8" xfId="0" applyNumberFormat="1" applyFont="1" applyBorder="1" applyAlignment="1">
      <alignment horizontal="right"/>
    </xf>
    <xf numFmtId="164" fontId="4" fillId="0" borderId="0" xfId="8" applyNumberFormat="1" applyFont="1" applyAlignment="1">
      <alignment horizontal="justify" wrapText="1"/>
    </xf>
    <xf numFmtId="9" fontId="4" fillId="2" borderId="8" xfId="0" applyNumberFormat="1" applyFont="1" applyFill="1" applyBorder="1"/>
    <xf numFmtId="164" fontId="4" fillId="0" borderId="0" xfId="8" applyNumberFormat="1" applyFont="1"/>
    <xf numFmtId="0" fontId="11" fillId="9" borderId="8" xfId="4" applyFont="1" applyFill="1" applyBorder="1" applyAlignment="1">
      <alignment horizontal="left"/>
    </xf>
    <xf numFmtId="0" fontId="4" fillId="9" borderId="8" xfId="4" applyFont="1" applyFill="1" applyBorder="1"/>
    <xf numFmtId="3" fontId="4" fillId="9" borderId="8" xfId="4" applyNumberFormat="1" applyFont="1" applyFill="1" applyBorder="1"/>
    <xf numFmtId="165" fontId="11" fillId="9" borderId="9" xfId="10" applyNumberFormat="1" applyFont="1" applyFill="1" applyBorder="1" applyAlignment="1">
      <alignment horizontal="center"/>
    </xf>
    <xf numFmtId="164" fontId="4" fillId="2" borderId="0" xfId="8" applyNumberFormat="1" applyFont="1" applyFill="1"/>
    <xf numFmtId="0" fontId="4" fillId="2" borderId="27" xfId="56" applyFont="1" applyFill="1" applyBorder="1" applyAlignment="1">
      <alignment horizontal="justify" vertical="center" wrapText="1"/>
    </xf>
    <xf numFmtId="0" fontId="4" fillId="0" borderId="12" xfId="3" applyFont="1" applyBorder="1" applyAlignment="1">
      <alignment wrapText="1"/>
    </xf>
    <xf numFmtId="0" fontId="4" fillId="0" borderId="0" xfId="3" applyFont="1" applyAlignment="1">
      <alignment wrapText="1"/>
    </xf>
    <xf numFmtId="164" fontId="11" fillId="0" borderId="0" xfId="9" applyNumberFormat="1" applyFont="1" applyBorder="1"/>
    <xf numFmtId="0" fontId="4" fillId="0" borderId="8" xfId="57" applyFont="1" applyBorder="1" applyAlignment="1">
      <alignment horizontal="left" vertical="center"/>
    </xf>
    <xf numFmtId="165" fontId="11" fillId="9" borderId="8" xfId="7" applyNumberFormat="1" applyFont="1" applyFill="1" applyBorder="1" applyAlignment="1">
      <alignment horizontal="center"/>
    </xf>
    <xf numFmtId="0" fontId="11" fillId="8" borderId="28" xfId="57" applyFont="1" applyFill="1" applyBorder="1" applyAlignment="1">
      <alignment horizontal="center" vertical="center"/>
    </xf>
    <xf numFmtId="0" fontId="4" fillId="0" borderId="8" xfId="0" applyFont="1" applyBorder="1" applyAlignment="1">
      <alignment horizontal="justify" vertical="center"/>
    </xf>
    <xf numFmtId="0" fontId="4" fillId="0" borderId="8" xfId="57" applyFont="1" applyBorder="1"/>
    <xf numFmtId="164" fontId="4" fillId="0" borderId="8" xfId="9" applyNumberFormat="1" applyFont="1" applyBorder="1"/>
    <xf numFmtId="0" fontId="4" fillId="0" borderId="8" xfId="0" applyFont="1" applyBorder="1"/>
    <xf numFmtId="0" fontId="4" fillId="0" borderId="8" xfId="57" applyFont="1" applyBorder="1" applyAlignment="1">
      <alignment horizontal="center"/>
    </xf>
    <xf numFmtId="9" fontId="4" fillId="0" borderId="8" xfId="57" applyNumberFormat="1" applyFont="1" applyBorder="1"/>
    <xf numFmtId="0" fontId="4" fillId="8" borderId="28" xfId="57" applyFont="1" applyFill="1" applyBorder="1" applyAlignment="1">
      <alignment horizontal="center" vertical="center"/>
    </xf>
    <xf numFmtId="3" fontId="4" fillId="8" borderId="28" xfId="57" applyNumberFormat="1" applyFont="1" applyFill="1" applyBorder="1" applyAlignment="1">
      <alignment horizontal="center" vertical="center"/>
    </xf>
    <xf numFmtId="165" fontId="11" fillId="8" borderId="28" xfId="58" applyNumberFormat="1" applyFont="1" applyFill="1" applyBorder="1" applyAlignment="1">
      <alignment horizontal="right" vertical="center"/>
    </xf>
    <xf numFmtId="0" fontId="4" fillId="2" borderId="27" xfId="57" applyFont="1" applyFill="1" applyBorder="1" applyAlignment="1">
      <alignment horizontal="justify" vertical="center" wrapText="1"/>
    </xf>
    <xf numFmtId="0" fontId="4" fillId="0" borderId="0" xfId="57" applyFont="1" applyAlignment="1">
      <alignment vertical="center" wrapText="1"/>
    </xf>
    <xf numFmtId="0" fontId="11" fillId="8" borderId="8" xfId="57" applyFont="1" applyFill="1" applyBorder="1" applyAlignment="1">
      <alignment horizontal="center" vertical="center"/>
    </xf>
    <xf numFmtId="164" fontId="11" fillId="8" borderId="8" xfId="41" applyNumberFormat="1" applyFont="1" applyFill="1" applyBorder="1" applyAlignment="1">
      <alignment horizontal="center" vertical="center"/>
    </xf>
    <xf numFmtId="0" fontId="4" fillId="0" borderId="8" xfId="53" applyFont="1" applyBorder="1" applyAlignment="1">
      <alignment horizontal="center"/>
    </xf>
    <xf numFmtId="0" fontId="4" fillId="0" borderId="8" xfId="53" applyFont="1" applyBorder="1" applyAlignment="1">
      <alignment horizontal="left"/>
    </xf>
    <xf numFmtId="9" fontId="4" fillId="2" borderId="8" xfId="53" applyNumberFormat="1" applyFont="1" applyFill="1" applyBorder="1"/>
    <xf numFmtId="0" fontId="4" fillId="0" borderId="8" xfId="53" applyFont="1" applyBorder="1"/>
    <xf numFmtId="0" fontId="4" fillId="2" borderId="8" xfId="53" applyFont="1" applyFill="1" applyBorder="1" applyAlignment="1">
      <alignment horizontal="left"/>
    </xf>
    <xf numFmtId="0" fontId="4" fillId="0" borderId="8" xfId="57" applyFont="1" applyBorder="1" applyAlignment="1">
      <alignment vertical="center"/>
    </xf>
    <xf numFmtId="0" fontId="4" fillId="0" borderId="8" xfId="57" applyFont="1" applyBorder="1" applyAlignment="1">
      <alignment horizontal="center" vertical="center"/>
    </xf>
    <xf numFmtId="164" fontId="4" fillId="0" borderId="8" xfId="14" applyNumberFormat="1" applyFont="1" applyBorder="1" applyAlignment="1">
      <alignment vertical="center"/>
    </xf>
    <xf numFmtId="9" fontId="4" fillId="0" borderId="8" xfId="57" applyNumberFormat="1" applyFont="1" applyBorder="1" applyAlignment="1">
      <alignment vertical="center"/>
    </xf>
    <xf numFmtId="164" fontId="4" fillId="0" borderId="8" xfId="14" applyNumberFormat="1" applyFont="1" applyBorder="1" applyAlignment="1">
      <alignment horizontal="center" vertical="center"/>
    </xf>
    <xf numFmtId="0" fontId="11" fillId="8" borderId="8" xfId="57" applyFont="1" applyFill="1" applyBorder="1" applyAlignment="1">
      <alignment horizontal="left" vertical="center"/>
    </xf>
    <xf numFmtId="0" fontId="4" fillId="8" borderId="8" xfId="57" applyFont="1" applyFill="1" applyBorder="1" applyAlignment="1">
      <alignment vertical="center"/>
    </xf>
    <xf numFmtId="3" fontId="4" fillId="8" borderId="8" xfId="57" applyNumberFormat="1" applyFont="1" applyFill="1" applyBorder="1" applyAlignment="1">
      <alignment vertical="center"/>
    </xf>
    <xf numFmtId="165" fontId="11" fillId="8" borderId="8" xfId="58" applyNumberFormat="1" applyFont="1" applyFill="1" applyBorder="1" applyAlignment="1">
      <alignment horizontal="right" vertical="center"/>
    </xf>
    <xf numFmtId="0" fontId="4" fillId="2" borderId="0" xfId="57" applyFont="1" applyFill="1" applyAlignment="1">
      <alignment horizontal="justify" vertical="center" wrapText="1"/>
    </xf>
    <xf numFmtId="0" fontId="4" fillId="2" borderId="0" xfId="57" applyFont="1" applyFill="1" applyAlignment="1">
      <alignment vertical="center" wrapText="1"/>
    </xf>
    <xf numFmtId="0" fontId="11" fillId="8" borderId="29" xfId="57" applyFont="1" applyFill="1" applyBorder="1" applyAlignment="1">
      <alignment horizontal="center" vertical="center"/>
    </xf>
    <xf numFmtId="0" fontId="11" fillId="8" borderId="30" xfId="57" applyFont="1" applyFill="1" applyBorder="1" applyAlignment="1">
      <alignment horizontal="center" vertical="center"/>
    </xf>
    <xf numFmtId="0" fontId="4" fillId="8" borderId="30" xfId="57" applyFont="1" applyFill="1" applyBorder="1" applyAlignment="1">
      <alignment vertical="center"/>
    </xf>
    <xf numFmtId="3" fontId="4" fillId="8" borderId="30" xfId="57" applyNumberFormat="1" applyFont="1" applyFill="1" applyBorder="1" applyAlignment="1">
      <alignment vertical="center"/>
    </xf>
    <xf numFmtId="165" fontId="11" fillId="8" borderId="30" xfId="58" applyNumberFormat="1" applyFont="1" applyFill="1" applyBorder="1" applyAlignment="1">
      <alignment horizontal="center" vertical="center"/>
    </xf>
    <xf numFmtId="0" fontId="4" fillId="2" borderId="27" xfId="57" applyFont="1" applyFill="1" applyBorder="1" applyAlignment="1">
      <alignment vertical="center" wrapText="1"/>
    </xf>
    <xf numFmtId="10" fontId="30" fillId="0" borderId="0" xfId="0" applyNumberFormat="1" applyFont="1" applyAlignment="1">
      <alignment horizontal="center" wrapText="1"/>
    </xf>
    <xf numFmtId="10" fontId="3" fillId="5" borderId="8" xfId="18" applyNumberFormat="1" applyFont="1" applyFill="1" applyBorder="1" applyAlignment="1">
      <alignment horizontal="center" vertical="center" wrapText="1"/>
    </xf>
    <xf numFmtId="10" fontId="26" fillId="9" borderId="8" xfId="54" applyNumberFormat="1" applyFont="1" applyFill="1" applyBorder="1" applyAlignment="1">
      <alignment vertical="center" wrapText="1"/>
    </xf>
    <xf numFmtId="10" fontId="25" fillId="13" borderId="8" xfId="54" applyNumberFormat="1" applyFont="1" applyFill="1" applyBorder="1" applyAlignment="1">
      <alignment vertical="center" wrapText="1"/>
    </xf>
    <xf numFmtId="10" fontId="2" fillId="0" borderId="0" xfId="18" applyNumberFormat="1" applyFont="1" applyBorder="1"/>
    <xf numFmtId="10" fontId="2" fillId="0" borderId="0" xfId="18" applyNumberFormat="1" applyFont="1"/>
    <xf numFmtId="0" fontId="2" fillId="0" borderId="0" xfId="3" applyFont="1" applyAlignment="1">
      <alignment wrapText="1"/>
    </xf>
    <xf numFmtId="0" fontId="2" fillId="0" borderId="8" xfId="4" applyFont="1" applyBorder="1" applyAlignment="1">
      <alignment wrapText="1"/>
    </xf>
    <xf numFmtId="0" fontId="3" fillId="2" borderId="0" xfId="4" applyFont="1" applyFill="1" applyAlignment="1">
      <alignment horizontal="left" wrapText="1"/>
    </xf>
    <xf numFmtId="0" fontId="11" fillId="2" borderId="0" xfId="4" applyFont="1" applyFill="1" applyBorder="1" applyAlignment="1">
      <alignment horizontal="left"/>
    </xf>
    <xf numFmtId="0" fontId="4" fillId="2" borderId="0" xfId="4" applyFont="1" applyFill="1" applyBorder="1"/>
    <xf numFmtId="3" fontId="4" fillId="2" borderId="0" xfId="4" applyNumberFormat="1" applyFont="1" applyFill="1" applyBorder="1"/>
    <xf numFmtId="165" fontId="11" fillId="2" borderId="0" xfId="7" applyNumberFormat="1" applyFont="1" applyFill="1" applyBorder="1" applyAlignment="1">
      <alignment horizontal="center"/>
    </xf>
    <xf numFmtId="0" fontId="11" fillId="0" borderId="0" xfId="3" applyFont="1" applyAlignment="1">
      <alignment horizontal="justify" vertical="top" wrapText="1"/>
    </xf>
    <xf numFmtId="164" fontId="3" fillId="9" borderId="8" xfId="18" applyNumberFormat="1" applyFont="1" applyFill="1" applyBorder="1" applyAlignment="1">
      <alignment horizontal="left"/>
    </xf>
    <xf numFmtId="164" fontId="3" fillId="9" borderId="8" xfId="18" applyNumberFormat="1" applyFont="1" applyFill="1" applyBorder="1" applyAlignment="1">
      <alignment horizontal="center"/>
    </xf>
    <xf numFmtId="0" fontId="3" fillId="8" borderId="8" xfId="4" applyFont="1" applyFill="1" applyBorder="1"/>
    <xf numFmtId="164" fontId="11" fillId="8" borderId="8" xfId="8" applyNumberFormat="1" applyFont="1" applyFill="1" applyBorder="1"/>
    <xf numFmtId="0" fontId="3" fillId="12" borderId="8" xfId="4" applyFont="1" applyFill="1" applyBorder="1"/>
    <xf numFmtId="164" fontId="11" fillId="12" borderId="8" xfId="8" applyNumberFormat="1" applyFont="1" applyFill="1" applyBorder="1"/>
    <xf numFmtId="164" fontId="4" fillId="0" borderId="0" xfId="8" applyNumberFormat="1" applyFont="1" applyFill="1" applyBorder="1"/>
    <xf numFmtId="14" fontId="23" fillId="2" borderId="8" xfId="0" applyNumberFormat="1" applyFont="1" applyFill="1" applyBorder="1" applyAlignment="1">
      <alignment horizontal="center" vertical="center"/>
    </xf>
    <xf numFmtId="165" fontId="23" fillId="2" borderId="8" xfId="0" applyNumberFormat="1" applyFont="1" applyFill="1" applyBorder="1" applyAlignment="1">
      <alignment horizontal="center" vertical="center"/>
    </xf>
    <xf numFmtId="0" fontId="3" fillId="12" borderId="11" xfId="4" applyFont="1" applyFill="1" applyBorder="1"/>
    <xf numFmtId="0" fontId="2" fillId="0" borderId="0" xfId="3" applyFont="1" applyBorder="1" applyAlignment="1">
      <alignment horizontal="justify" vertical="top" wrapText="1"/>
    </xf>
    <xf numFmtId="0" fontId="3" fillId="14" borderId="8" xfId="4" applyFont="1" applyFill="1" applyBorder="1" applyAlignment="1">
      <alignment horizontal="left"/>
    </xf>
    <xf numFmtId="165" fontId="3" fillId="14" borderId="8" xfId="10" applyNumberFormat="1" applyFont="1" applyFill="1" applyBorder="1" applyAlignment="1">
      <alignment horizontal="center"/>
    </xf>
    <xf numFmtId="165" fontId="3" fillId="12" borderId="8" xfId="3" applyNumberFormat="1" applyFont="1" applyFill="1" applyBorder="1" applyAlignment="1">
      <alignment wrapText="1"/>
    </xf>
    <xf numFmtId="0" fontId="12" fillId="0" borderId="0" xfId="3" applyFont="1" applyAlignment="1">
      <alignment horizontal="justify" vertical="top" wrapText="1"/>
    </xf>
    <xf numFmtId="0" fontId="31" fillId="2" borderId="12" xfId="4" applyFont="1" applyFill="1" applyBorder="1" applyAlignment="1">
      <alignment horizontal="justify" vertical="top" wrapText="1"/>
    </xf>
    <xf numFmtId="0" fontId="31" fillId="2" borderId="0" xfId="4" applyFont="1" applyFill="1" applyBorder="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3" fontId="4" fillId="2" borderId="8" xfId="4" applyNumberFormat="1" applyFont="1" applyFill="1" applyBorder="1" applyAlignment="1">
      <alignment vertical="center"/>
    </xf>
    <xf numFmtId="0" fontId="4" fillId="2" borderId="8" xfId="4" applyFont="1" applyFill="1" applyBorder="1" applyAlignment="1">
      <alignment horizontal="center" vertical="center"/>
    </xf>
    <xf numFmtId="0" fontId="29" fillId="0" borderId="0" xfId="18" applyNumberFormat="1" applyFont="1" applyAlignment="1">
      <alignment horizontal="center" wrapText="1"/>
    </xf>
    <xf numFmtId="164" fontId="3" fillId="2" borderId="8" xfId="8" applyNumberFormat="1" applyFont="1" applyFill="1" applyBorder="1" applyAlignment="1">
      <alignment horizontal="center" vertical="center" wrapText="1"/>
    </xf>
    <xf numFmtId="0" fontId="2" fillId="2" borderId="0" xfId="18" applyNumberFormat="1" applyFont="1" applyFill="1"/>
    <xf numFmtId="0" fontId="3" fillId="2" borderId="0" xfId="18" applyNumberFormat="1" applyFont="1" applyFill="1"/>
    <xf numFmtId="0" fontId="24" fillId="2" borderId="0" xfId="18" applyNumberFormat="1" applyFont="1" applyFill="1" applyBorder="1"/>
    <xf numFmtId="9" fontId="26" fillId="15" borderId="8" xfId="54" applyFont="1" applyFill="1" applyBorder="1" applyAlignment="1">
      <alignment horizontal="center" vertical="center" wrapText="1"/>
    </xf>
    <xf numFmtId="164" fontId="26" fillId="15" borderId="8" xfId="18" applyNumberFormat="1" applyFont="1" applyFill="1" applyBorder="1" applyAlignment="1">
      <alignment horizontal="center" vertical="center" wrapText="1"/>
    </xf>
    <xf numFmtId="164" fontId="2" fillId="2" borderId="8" xfId="18" applyNumberFormat="1" applyFont="1" applyFill="1" applyBorder="1" applyAlignment="1">
      <alignment horizontal="center" vertical="center"/>
    </xf>
    <xf numFmtId="9" fontId="2" fillId="2" borderId="8" xfId="54" applyFont="1" applyFill="1" applyBorder="1" applyAlignment="1">
      <alignment horizontal="center" vertical="center"/>
    </xf>
    <xf numFmtId="9" fontId="2" fillId="2" borderId="8" xfId="18" applyNumberFormat="1" applyFont="1" applyFill="1" applyBorder="1" applyAlignment="1">
      <alignment horizontal="center" vertical="center"/>
    </xf>
    <xf numFmtId="0" fontId="2" fillId="2" borderId="8" xfId="18" applyNumberFormat="1" applyFont="1" applyFill="1" applyBorder="1" applyAlignment="1">
      <alignment horizontal="center" vertical="center"/>
    </xf>
    <xf numFmtId="164" fontId="3" fillId="15" borderId="8" xfId="18" applyNumberFormat="1" applyFont="1" applyFill="1" applyBorder="1" applyAlignment="1">
      <alignment horizontal="center" vertical="center"/>
    </xf>
    <xf numFmtId="164" fontId="2" fillId="15" borderId="8" xfId="18" applyNumberFormat="1" applyFont="1" applyFill="1" applyBorder="1" applyAlignment="1">
      <alignment horizontal="center" vertical="center"/>
    </xf>
    <xf numFmtId="9" fontId="3" fillId="15" borderId="8" xfId="54" applyFont="1" applyFill="1" applyBorder="1" applyAlignment="1">
      <alignment horizontal="center" vertical="center"/>
    </xf>
    <xf numFmtId="0" fontId="3" fillId="15" borderId="8" xfId="18" applyNumberFormat="1" applyFont="1" applyFill="1" applyBorder="1" applyAlignment="1">
      <alignment horizontal="center" vertical="center"/>
    </xf>
    <xf numFmtId="0" fontId="29" fillId="0" borderId="0" xfId="18" applyNumberFormat="1" applyFont="1" applyAlignment="1">
      <alignment horizontal="left" wrapText="1"/>
    </xf>
    <xf numFmtId="164" fontId="2" fillId="0" borderId="0" xfId="18" applyNumberFormat="1" applyFont="1" applyAlignment="1">
      <alignment horizontal="left"/>
    </xf>
    <xf numFmtId="164" fontId="3" fillId="4" borderId="8" xfId="8" applyNumberFormat="1" applyFont="1" applyFill="1" applyBorder="1" applyAlignment="1">
      <alignment horizontal="center" vertical="center" wrapText="1"/>
    </xf>
    <xf numFmtId="164" fontId="3" fillId="2" borderId="0" xfId="18" applyNumberFormat="1" applyFont="1" applyFill="1"/>
    <xf numFmtId="164" fontId="3" fillId="12" borderId="8" xfId="8" applyNumberFormat="1" applyFont="1" applyFill="1" applyBorder="1" applyAlignment="1">
      <alignment horizontal="center" vertical="center" wrapText="1"/>
    </xf>
    <xf numFmtId="164" fontId="24" fillId="13" borderId="10" xfId="18" applyNumberFormat="1" applyFont="1" applyFill="1" applyBorder="1" applyAlignment="1">
      <alignment horizontal="center" vertical="center"/>
    </xf>
    <xf numFmtId="166" fontId="24" fillId="4" borderId="8" xfId="54" applyNumberFormat="1" applyFont="1" applyFill="1" applyBorder="1" applyAlignment="1">
      <alignment horizontal="center" vertical="center" wrapText="1"/>
    </xf>
    <xf numFmtId="164" fontId="24" fillId="4" borderId="8" xfId="18" applyNumberFormat="1" applyFont="1" applyFill="1" applyBorder="1" applyAlignment="1">
      <alignment horizontal="center" vertical="center" wrapText="1"/>
    </xf>
    <xf numFmtId="164" fontId="24" fillId="12" borderId="8" xfId="18" applyNumberFormat="1" applyFont="1" applyFill="1" applyBorder="1" applyAlignment="1">
      <alignment horizontal="center" vertical="center" wrapText="1"/>
    </xf>
    <xf numFmtId="164" fontId="24" fillId="2" borderId="8" xfId="18" applyNumberFormat="1" applyFont="1" applyFill="1" applyBorder="1" applyAlignment="1">
      <alignment horizontal="center" vertical="center" wrapText="1"/>
    </xf>
    <xf numFmtId="164" fontId="24" fillId="4" borderId="8" xfId="8" applyNumberFormat="1" applyFont="1" applyFill="1" applyBorder="1" applyAlignment="1">
      <alignment horizontal="center" vertical="center" wrapText="1"/>
    </xf>
    <xf numFmtId="164" fontId="3" fillId="12" borderId="8" xfId="8" applyNumberFormat="1" applyFont="1" applyFill="1" applyBorder="1" applyAlignment="1">
      <alignment horizontal="right"/>
    </xf>
    <xf numFmtId="10" fontId="2" fillId="0" borderId="8" xfId="4" applyNumberFormat="1" applyFont="1" applyBorder="1"/>
    <xf numFmtId="164" fontId="3" fillId="5" borderId="8" xfId="8" applyNumberFormat="1" applyFont="1" applyFill="1" applyBorder="1" applyAlignment="1">
      <alignment horizontal="center" vertical="center" wrapText="1"/>
    </xf>
    <xf numFmtId="0" fontId="13" fillId="2" borderId="0" xfId="4" applyFont="1" applyFill="1" applyAlignment="1">
      <alignment horizontal="justify" vertical="top" wrapText="1"/>
    </xf>
    <xf numFmtId="10" fontId="2" fillId="0" borderId="0" xfId="54" applyNumberFormat="1" applyFont="1"/>
    <xf numFmtId="10" fontId="24" fillId="5" borderId="8" xfId="54" applyNumberFormat="1" applyFont="1" applyFill="1" applyBorder="1" applyAlignment="1">
      <alignment horizontal="center" vertical="center" wrapText="1"/>
    </xf>
    <xf numFmtId="10" fontId="24" fillId="4" borderId="8" xfId="54" applyNumberFormat="1" applyFont="1" applyFill="1" applyBorder="1" applyAlignment="1">
      <alignment horizontal="center" vertical="center" wrapText="1"/>
    </xf>
    <xf numFmtId="10" fontId="24" fillId="12" borderId="8" xfId="54" applyNumberFormat="1" applyFont="1" applyFill="1" applyBorder="1" applyAlignment="1">
      <alignment horizontal="center" vertical="center" wrapText="1"/>
    </xf>
    <xf numFmtId="10" fontId="24" fillId="2" borderId="8" xfId="54" applyNumberFormat="1" applyFont="1" applyFill="1" applyBorder="1" applyAlignment="1">
      <alignment horizontal="center" vertical="center" wrapText="1"/>
    </xf>
    <xf numFmtId="164" fontId="24" fillId="13" borderId="10" xfId="18" applyNumberFormat="1" applyFont="1" applyFill="1" applyBorder="1" applyAlignment="1">
      <alignment horizontal="left" vertical="center"/>
    </xf>
    <xf numFmtId="164" fontId="20" fillId="0" borderId="0" xfId="18" applyNumberFormat="1" applyFont="1" applyAlignment="1">
      <alignment horizontal="justify" wrapText="1"/>
    </xf>
    <xf numFmtId="164" fontId="3" fillId="9" borderId="9" xfId="18" applyNumberFormat="1" applyFont="1" applyFill="1" applyBorder="1" applyAlignment="1">
      <alignment horizontal="center"/>
    </xf>
    <xf numFmtId="164" fontId="3" fillId="9" borderId="22" xfId="18" applyNumberFormat="1" applyFont="1" applyFill="1" applyBorder="1" applyAlignment="1">
      <alignment horizontal="center"/>
    </xf>
    <xf numFmtId="164" fontId="2" fillId="2" borderId="0" xfId="18" applyNumberFormat="1" applyFont="1" applyFill="1" applyBorder="1"/>
    <xf numFmtId="164" fontId="2" fillId="0" borderId="8" xfId="18" applyNumberFormat="1" applyFont="1" applyFill="1" applyBorder="1"/>
    <xf numFmtId="0" fontId="2" fillId="0" borderId="0" xfId="3" applyFont="1" applyAlignment="1">
      <alignment wrapText="1"/>
    </xf>
    <xf numFmtId="43" fontId="2" fillId="0" borderId="0" xfId="18" applyFont="1"/>
    <xf numFmtId="164" fontId="23" fillId="0" borderId="0" xfId="18" applyNumberFormat="1" applyFont="1" applyAlignment="1">
      <alignment vertical="center"/>
    </xf>
    <xf numFmtId="164" fontId="23" fillId="0" borderId="0" xfId="18" applyNumberFormat="1" applyFont="1" applyAlignment="1">
      <alignment vertical="center" wrapText="1"/>
    </xf>
    <xf numFmtId="43" fontId="2" fillId="2" borderId="0" xfId="18" applyFont="1" applyFill="1"/>
    <xf numFmtId="164" fontId="4" fillId="0" borderId="0" xfId="18" applyNumberFormat="1" applyFont="1"/>
    <xf numFmtId="164" fontId="4" fillId="2" borderId="0" xfId="18" applyNumberFormat="1" applyFont="1" applyFill="1"/>
    <xf numFmtId="9" fontId="4" fillId="2" borderId="8" xfId="4" applyNumberFormat="1" applyFont="1" applyFill="1" applyBorder="1"/>
    <xf numFmtId="0" fontId="2" fillId="0" borderId="0" xfId="3" applyFont="1" applyAlignment="1">
      <alignment horizontal="left" wrapText="1"/>
    </xf>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9" fontId="4" fillId="0" borderId="8" xfId="54" applyFont="1" applyBorder="1" applyAlignment="1">
      <alignment horizontal="center" vertical="center"/>
    </xf>
    <xf numFmtId="164" fontId="4" fillId="0" borderId="8" xfId="18" applyNumberFormat="1" applyFont="1" applyBorder="1" applyAlignment="1">
      <alignment horizontal="right"/>
    </xf>
    <xf numFmtId="166" fontId="4" fillId="0" borderId="8" xfId="4" applyNumberFormat="1" applyFont="1" applyBorder="1"/>
    <xf numFmtId="0" fontId="4" fillId="0" borderId="8" xfId="4" applyFont="1" applyBorder="1" applyAlignment="1">
      <alignment wrapText="1"/>
    </xf>
    <xf numFmtId="0" fontId="4" fillId="0" borderId="8" xfId="13" applyFont="1" applyBorder="1" applyAlignment="1">
      <alignment vertical="center"/>
    </xf>
    <xf numFmtId="164" fontId="4" fillId="0" borderId="8" xfId="18" applyNumberFormat="1" applyFont="1" applyBorder="1" applyAlignment="1">
      <alignment horizontal="right" vertical="center"/>
    </xf>
    <xf numFmtId="0" fontId="4" fillId="2" borderId="8" xfId="13" applyFont="1" applyFill="1" applyBorder="1" applyAlignment="1">
      <alignment vertical="center"/>
    </xf>
    <xf numFmtId="164" fontId="4" fillId="2" borderId="8" xfId="18" applyNumberFormat="1" applyFont="1" applyFill="1" applyBorder="1" applyAlignment="1">
      <alignment horizontal="right" vertical="center"/>
    </xf>
    <xf numFmtId="41" fontId="4" fillId="2" borderId="8" xfId="4" applyNumberFormat="1" applyFont="1" applyFill="1" applyBorder="1"/>
    <xf numFmtId="166" fontId="4" fillId="2" borderId="8" xfId="4" applyNumberFormat="1" applyFont="1" applyFill="1" applyBorder="1"/>
    <xf numFmtId="0" fontId="4" fillId="2" borderId="8" xfId="4" applyFont="1" applyFill="1" applyBorder="1" applyAlignment="1">
      <alignment vertical="center"/>
    </xf>
    <xf numFmtId="9" fontId="4" fillId="2" borderId="8" xfId="4" applyNumberFormat="1" applyFont="1" applyFill="1" applyBorder="1" applyAlignment="1">
      <alignment vertical="center"/>
    </xf>
    <xf numFmtId="0" fontId="4" fillId="2" borderId="8" xfId="57" applyFont="1" applyFill="1" applyBorder="1" applyAlignment="1">
      <alignment vertical="center"/>
    </xf>
    <xf numFmtId="0" fontId="4" fillId="2" borderId="8" xfId="59" applyFont="1" applyFill="1" applyBorder="1" applyAlignment="1">
      <alignment vertical="center"/>
    </xf>
    <xf numFmtId="9" fontId="4" fillId="2" borderId="8" xfId="28" applyFont="1" applyFill="1" applyBorder="1"/>
    <xf numFmtId="0" fontId="4" fillId="2" borderId="8" xfId="3" applyFont="1" applyFill="1" applyBorder="1"/>
    <xf numFmtId="9" fontId="4" fillId="2" borderId="8" xfId="3" applyNumberFormat="1" applyFont="1" applyFill="1" applyBorder="1"/>
    <xf numFmtId="0" fontId="21" fillId="10" borderId="31" xfId="50" applyFont="1" applyFill="1" applyBorder="1" applyAlignment="1">
      <alignment horizontal="center" vertical="center"/>
    </xf>
    <xf numFmtId="0" fontId="5" fillId="2" borderId="32" xfId="50" applyFont="1" applyFill="1" applyBorder="1" applyAlignment="1">
      <alignment horizontal="left" vertical="center" wrapText="1"/>
    </xf>
    <xf numFmtId="0" fontId="20" fillId="2" borderId="8" xfId="50" applyFont="1" applyFill="1" applyBorder="1" applyAlignment="1">
      <alignment horizontal="justify" vertical="center" wrapText="1"/>
    </xf>
    <xf numFmtId="165" fontId="5" fillId="2" borderId="8" xfId="1" applyNumberFormat="1" applyFont="1" applyFill="1" applyBorder="1" applyAlignment="1">
      <alignment vertical="center"/>
    </xf>
    <xf numFmtId="0" fontId="5" fillId="2" borderId="8" xfId="50" applyFont="1" applyFill="1" applyBorder="1"/>
    <xf numFmtId="0" fontId="5" fillId="2" borderId="32" xfId="49" applyFont="1" applyFill="1" applyBorder="1" applyAlignment="1">
      <alignment horizontal="left" vertical="center" wrapText="1"/>
    </xf>
    <xf numFmtId="165" fontId="24" fillId="13" borderId="11" xfId="1" applyNumberFormat="1" applyFont="1" applyFill="1" applyBorder="1" applyAlignment="1">
      <alignment vertical="center"/>
    </xf>
    <xf numFmtId="0" fontId="20" fillId="2" borderId="11" xfId="50" applyFont="1" applyFill="1" applyBorder="1" applyAlignment="1">
      <alignment horizontal="justify" vertical="center" wrapText="1"/>
    </xf>
    <xf numFmtId="0" fontId="5" fillId="2" borderId="0" xfId="50" applyFont="1" applyFill="1" applyAlignment="1">
      <alignment horizontal="justify" vertical="center"/>
    </xf>
    <xf numFmtId="165" fontId="5" fillId="2" borderId="0" xfId="50" applyNumberFormat="1" applyFont="1" applyFill="1"/>
    <xf numFmtId="0" fontId="3" fillId="2" borderId="0" xfId="4" applyFont="1" applyFill="1" applyAlignment="1">
      <alignment horizontal="center" wrapText="1"/>
    </xf>
    <xf numFmtId="0" fontId="3" fillId="4" borderId="8" xfId="4" applyFont="1" applyFill="1" applyBorder="1"/>
    <xf numFmtId="164" fontId="2" fillId="0" borderId="0" xfId="5" applyNumberFormat="1" applyFont="1" applyBorder="1" applyAlignment="1">
      <alignment horizontal="center"/>
    </xf>
    <xf numFmtId="0" fontId="3" fillId="16" borderId="8" xfId="4" applyFont="1" applyFill="1" applyBorder="1"/>
    <xf numFmtId="0" fontId="2" fillId="0" borderId="0" xfId="4" applyFont="1" applyAlignment="1">
      <alignment horizontal="center" vertical="center" wrapText="1"/>
    </xf>
    <xf numFmtId="0" fontId="3" fillId="0" borderId="8" xfId="4" applyFont="1" applyBorder="1"/>
    <xf numFmtId="164" fontId="3" fillId="0" borderId="8" xfId="5" applyNumberFormat="1" applyFont="1" applyBorder="1" applyAlignment="1">
      <alignment horizontal="center"/>
    </xf>
    <xf numFmtId="165" fontId="2" fillId="0" borderId="8" xfId="1" applyNumberFormat="1" applyFont="1" applyBorder="1"/>
    <xf numFmtId="0" fontId="2" fillId="0" borderId="8" xfId="4" applyFont="1" applyBorder="1" applyAlignment="1">
      <alignment horizontal="center"/>
    </xf>
    <xf numFmtId="164" fontId="2" fillId="0" borderId="0" xfId="5" applyNumberFormat="1" applyFont="1" applyBorder="1"/>
    <xf numFmtId="164" fontId="2" fillId="0" borderId="33" xfId="5" applyNumberFormat="1" applyFont="1" applyBorder="1"/>
    <xf numFmtId="0" fontId="2" fillId="0" borderId="34" xfId="4" applyFont="1" applyBorder="1"/>
    <xf numFmtId="0" fontId="2" fillId="0" borderId="35" xfId="4" applyFont="1" applyBorder="1"/>
    <xf numFmtId="164" fontId="2" fillId="0" borderId="36" xfId="5" applyNumberFormat="1" applyFont="1" applyBorder="1"/>
    <xf numFmtId="0" fontId="2" fillId="0" borderId="37" xfId="4" applyFont="1" applyBorder="1"/>
    <xf numFmtId="0" fontId="2" fillId="0" borderId="36" xfId="4" applyFont="1" applyBorder="1"/>
    <xf numFmtId="0" fontId="2" fillId="0" borderId="38" xfId="4" applyFont="1" applyBorder="1"/>
    <xf numFmtId="0" fontId="2" fillId="0" borderId="39" xfId="4" applyFont="1" applyBorder="1"/>
    <xf numFmtId="0" fontId="2" fillId="0" borderId="40" xfId="4" applyFont="1" applyBorder="1"/>
    <xf numFmtId="0" fontId="10" fillId="0" borderId="0" xfId="60" applyBorder="1"/>
    <xf numFmtId="0" fontId="3" fillId="16" borderId="8" xfId="4" applyFont="1" applyFill="1" applyBorder="1" applyAlignment="1">
      <alignment horizontal="center" wrapText="1"/>
    </xf>
    <xf numFmtId="0" fontId="3" fillId="0" borderId="11" xfId="4" applyFont="1" applyBorder="1"/>
    <xf numFmtId="0" fontId="3" fillId="0" borderId="0" xfId="4" applyFont="1" applyAlignment="1">
      <alignment horizontal="center"/>
    </xf>
    <xf numFmtId="164" fontId="3" fillId="0" borderId="8" xfId="5" applyNumberFormat="1" applyFont="1" applyBorder="1" applyAlignment="1"/>
    <xf numFmtId="164" fontId="2" fillId="0" borderId="8" xfId="4" applyNumberFormat="1" applyFont="1" applyBorder="1" applyAlignment="1">
      <alignment horizontal="center"/>
    </xf>
    <xf numFmtId="164" fontId="2" fillId="0" borderId="8" xfId="5" applyNumberFormat="1" applyFont="1" applyBorder="1" applyAlignment="1"/>
    <xf numFmtId="164" fontId="2" fillId="0" borderId="0" xfId="4" applyNumberFormat="1" applyFont="1" applyAlignment="1">
      <alignment horizontal="center"/>
    </xf>
    <xf numFmtId="164" fontId="2" fillId="0" borderId="0" xfId="5" applyNumberFormat="1" applyFont="1" applyBorder="1" applyAlignment="1"/>
    <xf numFmtId="0" fontId="32" fillId="17" borderId="24" xfId="4" applyFont="1" applyFill="1" applyBorder="1" applyAlignment="1">
      <alignment horizontal="center" vertical="center"/>
    </xf>
    <xf numFmtId="0" fontId="32" fillId="17" borderId="41" xfId="4" applyFont="1" applyFill="1" applyBorder="1" applyAlignment="1">
      <alignment horizontal="center" vertical="center" wrapText="1"/>
    </xf>
    <xf numFmtId="0" fontId="32" fillId="17" borderId="42" xfId="4" applyFont="1" applyFill="1" applyBorder="1" applyAlignment="1">
      <alignment horizontal="center" vertical="center" wrapText="1"/>
    </xf>
    <xf numFmtId="0" fontId="33" fillId="17" borderId="8" xfId="4" applyFont="1" applyFill="1" applyBorder="1" applyAlignment="1">
      <alignment horizontal="center" vertical="center" wrapText="1"/>
    </xf>
    <xf numFmtId="164" fontId="3" fillId="16" borderId="8" xfId="18" applyNumberFormat="1" applyFont="1" applyFill="1" applyBorder="1"/>
    <xf numFmtId="0" fontId="34" fillId="0" borderId="0" xfId="6" applyFont="1" applyBorder="1"/>
    <xf numFmtId="165" fontId="3" fillId="16" borderId="8" xfId="7" applyNumberFormat="1" applyFont="1" applyFill="1" applyBorder="1" applyAlignment="1">
      <alignment horizontal="center"/>
    </xf>
    <xf numFmtId="0" fontId="3" fillId="16" borderId="8" xfId="4" applyFont="1" applyFill="1" applyBorder="1" applyAlignment="1">
      <alignment horizontal="center"/>
    </xf>
    <xf numFmtId="0" fontId="4" fillId="3" borderId="8" xfId="4" applyFont="1" applyFill="1" applyBorder="1"/>
    <xf numFmtId="164" fontId="4" fillId="0" borderId="8" xfId="5" applyNumberFormat="1" applyFont="1" applyBorder="1" applyAlignment="1">
      <alignment horizontal="center"/>
    </xf>
    <xf numFmtId="164" fontId="11" fillId="0" borderId="8" xfId="5" applyNumberFormat="1" applyFont="1" applyBorder="1" applyAlignment="1">
      <alignment horizontal="center"/>
    </xf>
    <xf numFmtId="0" fontId="11" fillId="16" borderId="8" xfId="4" applyFont="1" applyFill="1" applyBorder="1"/>
    <xf numFmtId="164" fontId="11" fillId="16" borderId="8" xfId="5" applyNumberFormat="1" applyFont="1" applyFill="1" applyBorder="1"/>
    <xf numFmtId="0" fontId="3" fillId="16" borderId="12" xfId="4" applyFont="1" applyFill="1" applyBorder="1"/>
    <xf numFmtId="164" fontId="11" fillId="16" borderId="12" xfId="5" applyNumberFormat="1" applyFont="1" applyFill="1" applyBorder="1"/>
    <xf numFmtId="0" fontId="3" fillId="0" borderId="8" xfId="4" applyFont="1" applyBorder="1" applyAlignment="1">
      <alignment wrapText="1"/>
    </xf>
    <xf numFmtId="164" fontId="2" fillId="0" borderId="0" xfId="5" applyNumberFormat="1" applyFont="1" applyBorder="1" applyAlignment="1">
      <alignment wrapText="1"/>
    </xf>
    <xf numFmtId="0" fontId="3" fillId="3" borderId="8" xfId="4" applyFont="1" applyFill="1" applyBorder="1"/>
    <xf numFmtId="0" fontId="3" fillId="3" borderId="0" xfId="4" applyFont="1" applyFill="1"/>
    <xf numFmtId="0" fontId="33" fillId="17" borderId="8" xfId="4" applyFont="1" applyFill="1" applyBorder="1" applyAlignment="1">
      <alignment horizontal="left" vertical="center" wrapText="1"/>
    </xf>
    <xf numFmtId="0" fontId="2" fillId="12" borderId="10" xfId="4" applyFont="1" applyFill="1" applyBorder="1"/>
    <xf numFmtId="9" fontId="2" fillId="12" borderId="8" xfId="4" applyNumberFormat="1" applyFont="1" applyFill="1" applyBorder="1" applyAlignment="1">
      <alignment horizontal="left"/>
    </xf>
    <xf numFmtId="0" fontId="2" fillId="0" borderId="10" xfId="4" applyFont="1" applyBorder="1"/>
    <xf numFmtId="9" fontId="2" fillId="0" borderId="8" xfId="4" applyNumberFormat="1" applyFont="1" applyBorder="1" applyAlignment="1">
      <alignment horizontal="left"/>
    </xf>
    <xf numFmtId="0" fontId="2" fillId="2" borderId="10" xfId="4" applyFont="1" applyFill="1" applyBorder="1"/>
    <xf numFmtId="41" fontId="4" fillId="2" borderId="8" xfId="55" applyFont="1" applyFill="1" applyBorder="1"/>
    <xf numFmtId="0" fontId="2" fillId="4" borderId="8" xfId="4" applyFont="1" applyFill="1" applyBorder="1"/>
    <xf numFmtId="9" fontId="2" fillId="4" borderId="8" xfId="4" applyNumberFormat="1" applyFont="1" applyFill="1" applyBorder="1" applyAlignment="1">
      <alignment horizontal="left"/>
    </xf>
    <xf numFmtId="9" fontId="2" fillId="2" borderId="8" xfId="4" applyNumberFormat="1" applyFont="1" applyFill="1" applyBorder="1" applyAlignment="1">
      <alignment horizontal="left"/>
    </xf>
    <xf numFmtId="0" fontId="3" fillId="5" borderId="11" xfId="4" applyFont="1" applyFill="1" applyBorder="1"/>
    <xf numFmtId="164" fontId="4" fillId="0" borderId="8" xfId="5" applyNumberFormat="1" applyFont="1" applyBorder="1"/>
    <xf numFmtId="164" fontId="2" fillId="0" borderId="8" xfId="5" applyNumberFormat="1" applyFont="1" applyBorder="1"/>
    <xf numFmtId="164" fontId="3" fillId="16" borderId="8" xfId="5" applyNumberFormat="1" applyFont="1" applyFill="1" applyBorder="1" applyAlignment="1">
      <alignment wrapText="1"/>
    </xf>
    <xf numFmtId="164" fontId="3" fillId="3" borderId="8" xfId="5" applyNumberFormat="1" applyFont="1" applyFill="1" applyBorder="1"/>
    <xf numFmtId="0" fontId="3" fillId="3" borderId="8" xfId="4" applyFont="1" applyFill="1" applyBorder="1" applyAlignment="1">
      <alignment wrapText="1"/>
    </xf>
    <xf numFmtId="0" fontId="4" fillId="2" borderId="8" xfId="4" applyFont="1" applyFill="1" applyBorder="1" applyAlignment="1">
      <alignment wrapText="1"/>
    </xf>
    <xf numFmtId="164" fontId="4" fillId="2" borderId="8" xfId="5" applyNumberFormat="1" applyFont="1" applyFill="1" applyBorder="1"/>
    <xf numFmtId="164" fontId="3" fillId="3" borderId="8" xfId="5" applyNumberFormat="1" applyFont="1" applyFill="1" applyBorder="1" applyAlignment="1">
      <alignment wrapText="1"/>
    </xf>
    <xf numFmtId="0" fontId="3" fillId="4" borderId="11" xfId="4" applyFont="1" applyFill="1" applyBorder="1" applyAlignment="1">
      <alignment horizontal="left"/>
    </xf>
    <xf numFmtId="165" fontId="3" fillId="16" borderId="8" xfId="4" applyNumberFormat="1" applyFont="1" applyFill="1" applyBorder="1"/>
    <xf numFmtId="0" fontId="3" fillId="4" borderId="8" xfId="4" applyFont="1" applyFill="1" applyBorder="1" applyAlignment="1">
      <alignment horizontal="center"/>
    </xf>
    <xf numFmtId="0" fontId="3" fillId="4" borderId="8" xfId="4" applyFont="1" applyFill="1" applyBorder="1" applyAlignment="1">
      <alignment wrapText="1"/>
    </xf>
    <xf numFmtId="165" fontId="3" fillId="4" borderId="8" xfId="7" applyNumberFormat="1" applyFont="1" applyFill="1" applyBorder="1" applyAlignment="1">
      <alignment wrapText="1"/>
    </xf>
    <xf numFmtId="164" fontId="2" fillId="0" borderId="0" xfId="5" applyNumberFormat="1" applyFont="1" applyAlignment="1">
      <alignment horizontal="center"/>
    </xf>
    <xf numFmtId="0" fontId="3" fillId="4" borderId="8" xfId="4" applyFont="1" applyFill="1" applyBorder="1" applyAlignment="1">
      <alignment horizontal="left" vertical="center"/>
    </xf>
    <xf numFmtId="0" fontId="3" fillId="4" borderId="8" xfId="4" applyFont="1" applyFill="1" applyBorder="1" applyAlignment="1">
      <alignment horizontal="center" vertical="center"/>
    </xf>
    <xf numFmtId="165" fontId="2" fillId="0" borderId="8" xfId="7" applyNumberFormat="1" applyFont="1" applyBorder="1"/>
    <xf numFmtId="165" fontId="2" fillId="2" borderId="8" xfId="1" applyNumberFormat="1" applyFont="1" applyFill="1" applyBorder="1"/>
    <xf numFmtId="165" fontId="2" fillId="0" borderId="8" xfId="1" applyNumberFormat="1" applyFont="1" applyBorder="1" applyAlignment="1"/>
    <xf numFmtId="165" fontId="2" fillId="2" borderId="8" xfId="7" applyNumberFormat="1" applyFont="1" applyFill="1" applyBorder="1"/>
    <xf numFmtId="0" fontId="3" fillId="3" borderId="8" xfId="4" applyFont="1" applyFill="1" applyBorder="1" applyAlignment="1">
      <alignment horizontal="left" wrapText="1"/>
    </xf>
    <xf numFmtId="0" fontId="2" fillId="3" borderId="8" xfId="4" applyFont="1" applyFill="1" applyBorder="1" applyAlignment="1">
      <alignment horizontal="left" wrapText="1"/>
    </xf>
    <xf numFmtId="0" fontId="3" fillId="4" borderId="24" xfId="4" applyFont="1" applyFill="1" applyBorder="1"/>
    <xf numFmtId="164" fontId="3" fillId="4" borderId="8" xfId="4" applyNumberFormat="1" applyFont="1" applyFill="1" applyBorder="1"/>
    <xf numFmtId="0" fontId="3" fillId="4" borderId="11" xfId="4" applyFont="1" applyFill="1" applyBorder="1"/>
    <xf numFmtId="164" fontId="3" fillId="4" borderId="8" xfId="5" applyNumberFormat="1" applyFont="1" applyFill="1" applyBorder="1"/>
    <xf numFmtId="0" fontId="3" fillId="3" borderId="11" xfId="4" applyFont="1" applyFill="1" applyBorder="1"/>
    <xf numFmtId="164" fontId="2" fillId="0" borderId="8" xfId="5" applyNumberFormat="1" applyFont="1" applyBorder="1" applyAlignment="1">
      <alignment wrapText="1"/>
    </xf>
    <xf numFmtId="0" fontId="2" fillId="0" borderId="0" xfId="4" applyFont="1" applyAlignment="1">
      <alignment horizontal="justify" wrapText="1"/>
    </xf>
    <xf numFmtId="164" fontId="2" fillId="2" borderId="8" xfId="5" applyNumberFormat="1" applyFont="1" applyFill="1" applyBorder="1"/>
    <xf numFmtId="0" fontId="2" fillId="0" borderId="0" xfId="4" applyFont="1" applyAlignment="1">
      <alignment horizontal="justify" vertical="justify" wrapText="1"/>
    </xf>
    <xf numFmtId="0" fontId="3" fillId="3" borderId="8" xfId="4" applyFont="1" applyFill="1" applyBorder="1" applyAlignment="1">
      <alignment horizontal="center"/>
    </xf>
    <xf numFmtId="0" fontId="3" fillId="5" borderId="8" xfId="4" applyFont="1" applyFill="1" applyBorder="1"/>
    <xf numFmtId="164" fontId="3" fillId="5" borderId="8" xfId="5" applyNumberFormat="1" applyFont="1" applyFill="1" applyBorder="1"/>
    <xf numFmtId="164" fontId="3" fillId="2" borderId="0" xfId="5" applyNumberFormat="1" applyFont="1" applyFill="1" applyBorder="1"/>
    <xf numFmtId="0" fontId="3" fillId="5" borderId="8" xfId="4" applyFont="1" applyFill="1" applyBorder="1" applyAlignment="1">
      <alignment horizontal="center"/>
    </xf>
    <xf numFmtId="164" fontId="12" fillId="0" borderId="0" xfId="5" applyNumberFormat="1" applyFont="1" applyBorder="1" applyAlignment="1">
      <alignment vertical="center" wrapText="1"/>
    </xf>
    <xf numFmtId="165" fontId="12" fillId="0" borderId="0" xfId="7" applyNumberFormat="1" applyFont="1" applyBorder="1" applyAlignment="1">
      <alignment vertical="center"/>
    </xf>
    <xf numFmtId="0" fontId="12" fillId="0" borderId="0" xfId="4" applyFont="1" applyAlignment="1">
      <alignment horizontal="justify" wrapText="1"/>
    </xf>
    <xf numFmtId="0" fontId="12" fillId="0" borderId="0" xfId="4" applyFont="1" applyAlignment="1">
      <alignment wrapText="1"/>
    </xf>
    <xf numFmtId="0" fontId="3" fillId="2" borderId="9" xfId="4" applyFont="1" applyFill="1" applyBorder="1"/>
    <xf numFmtId="164" fontId="3" fillId="5" borderId="8" xfId="4" applyNumberFormat="1" applyFont="1" applyFill="1" applyBorder="1"/>
    <xf numFmtId="0" fontId="3" fillId="5" borderId="43" xfId="4" applyFont="1" applyFill="1" applyBorder="1"/>
    <xf numFmtId="0" fontId="3" fillId="5" borderId="8" xfId="4" applyFont="1" applyFill="1" applyBorder="1" applyAlignment="1">
      <alignment horizontal="left"/>
    </xf>
    <xf numFmtId="0" fontId="11" fillId="3" borderId="8" xfId="4" applyFont="1" applyFill="1" applyBorder="1"/>
    <xf numFmtId="164" fontId="11" fillId="3" borderId="8" xfId="5" applyNumberFormat="1" applyFont="1" applyFill="1" applyBorder="1"/>
    <xf numFmtId="0" fontId="3" fillId="5" borderId="8" xfId="3" applyFont="1" applyFill="1" applyBorder="1" applyAlignment="1">
      <alignment horizontal="left"/>
    </xf>
    <xf numFmtId="0" fontId="3" fillId="5" borderId="8" xfId="3" applyFont="1" applyFill="1" applyBorder="1" applyAlignment="1">
      <alignment horizontal="center"/>
    </xf>
    <xf numFmtId="164" fontId="2" fillId="0" borderId="0" xfId="9" applyNumberFormat="1" applyFont="1" applyBorder="1"/>
    <xf numFmtId="164" fontId="4" fillId="0" borderId="8" xfId="5" applyNumberFormat="1" applyFont="1" applyBorder="1" applyAlignment="1">
      <alignment wrapText="1"/>
    </xf>
    <xf numFmtId="164" fontId="4" fillId="0" borderId="0" xfId="5" applyNumberFormat="1" applyFont="1" applyBorder="1" applyAlignment="1">
      <alignment wrapText="1"/>
    </xf>
    <xf numFmtId="164" fontId="4" fillId="0" borderId="0" xfId="5" applyNumberFormat="1" applyFont="1" applyBorder="1"/>
    <xf numFmtId="0" fontId="2" fillId="2" borderId="0" xfId="13" applyFont="1" applyFill="1"/>
    <xf numFmtId="0" fontId="3" fillId="3" borderId="8" xfId="3" applyFont="1" applyFill="1" applyBorder="1"/>
    <xf numFmtId="0" fontId="3" fillId="3" borderId="8" xfId="3" applyFont="1" applyFill="1" applyBorder="1" applyAlignment="1">
      <alignment wrapText="1"/>
    </xf>
    <xf numFmtId="164" fontId="2" fillId="0" borderId="8" xfId="48" applyNumberFormat="1" applyFont="1" applyBorder="1"/>
    <xf numFmtId="0" fontId="35" fillId="0" borderId="0" xfId="4" applyFont="1" applyAlignment="1">
      <alignment wrapText="1"/>
    </xf>
    <xf numFmtId="0" fontId="10" fillId="0" borderId="0" xfId="60"/>
    <xf numFmtId="164" fontId="2" fillId="0" borderId="0" xfId="48" applyNumberFormat="1" applyFont="1" applyBorder="1"/>
    <xf numFmtId="165" fontId="2" fillId="0" borderId="8" xfId="4" applyNumberFormat="1" applyFont="1" applyBorder="1"/>
    <xf numFmtId="41" fontId="2" fillId="0" borderId="8" xfId="47" applyFont="1" applyBorder="1"/>
    <xf numFmtId="0" fontId="12" fillId="0" borderId="0" xfId="4" applyFont="1"/>
    <xf numFmtId="41" fontId="2" fillId="0" borderId="0" xfId="47" applyFont="1" applyBorder="1"/>
    <xf numFmtId="0" fontId="2" fillId="0" borderId="0" xfId="13" applyFont="1"/>
    <xf numFmtId="0" fontId="12" fillId="0" borderId="8" xfId="4" applyFont="1" applyBorder="1"/>
    <xf numFmtId="0" fontId="36" fillId="0" borderId="0" xfId="0" applyFont="1"/>
    <xf numFmtId="0" fontId="36" fillId="0" borderId="0" xfId="0" applyFont="1" applyAlignment="1">
      <alignment horizontal="center"/>
    </xf>
    <xf numFmtId="9" fontId="2" fillId="0" borderId="8" xfId="54" applyFont="1" applyBorder="1"/>
    <xf numFmtId="164" fontId="3" fillId="5" borderId="8" xfId="18" applyNumberFormat="1" applyFont="1" applyFill="1" applyBorder="1" applyAlignment="1">
      <alignment horizontal="left"/>
    </xf>
    <xf numFmtId="41" fontId="2" fillId="0" borderId="8" xfId="55" applyFont="1" applyBorder="1"/>
    <xf numFmtId="10" fontId="2" fillId="2" borderId="8" xfId="4" applyNumberFormat="1" applyFont="1" applyFill="1" applyBorder="1"/>
    <xf numFmtId="10" fontId="2" fillId="0" borderId="0" xfId="54" applyNumberFormat="1" applyFont="1" applyBorder="1"/>
    <xf numFmtId="0" fontId="3" fillId="5" borderId="8" xfId="4" applyFont="1" applyFill="1" applyBorder="1" applyAlignment="1">
      <alignment horizontal="left" wrapText="1"/>
    </xf>
    <xf numFmtId="165" fontId="3" fillId="5" borderId="8" xfId="1" applyNumberFormat="1" applyFont="1" applyFill="1" applyBorder="1" applyAlignment="1">
      <alignment horizontal="left"/>
    </xf>
    <xf numFmtId="0" fontId="2" fillId="0" borderId="8" xfId="3" applyFont="1" applyBorder="1" applyAlignment="1">
      <alignment wrapText="1"/>
    </xf>
    <xf numFmtId="0" fontId="2" fillId="0" borderId="8" xfId="3" applyFont="1" applyBorder="1"/>
    <xf numFmtId="0" fontId="3" fillId="5" borderId="8" xfId="3" applyFont="1" applyFill="1" applyBorder="1" applyAlignment="1">
      <alignment horizontal="center" vertical="center" wrapText="1"/>
    </xf>
    <xf numFmtId="0" fontId="2" fillId="0" borderId="8" xfId="3" applyFont="1" applyBorder="1" applyAlignment="1">
      <alignment horizontal="left" wrapText="1"/>
    </xf>
    <xf numFmtId="164" fontId="2" fillId="0" borderId="8" xfId="9" applyNumberFormat="1" applyFont="1" applyBorder="1" applyAlignment="1">
      <alignment horizontal="center"/>
    </xf>
    <xf numFmtId="164" fontId="2" fillId="0" borderId="8" xfId="3" applyNumberFormat="1" applyFont="1" applyBorder="1" applyAlignment="1">
      <alignment horizontal="center"/>
    </xf>
    <xf numFmtId="9" fontId="2" fillId="0" borderId="8" xfId="3" applyNumberFormat="1" applyFont="1" applyBorder="1"/>
    <xf numFmtId="164" fontId="3" fillId="4" borderId="8" xfId="18" applyNumberFormat="1" applyFont="1" applyFill="1" applyBorder="1" applyAlignment="1">
      <alignment horizontal="center" vertical="center" wrapText="1"/>
    </xf>
    <xf numFmtId="0" fontId="2" fillId="0" borderId="8" xfId="3" applyFont="1" applyBorder="1" applyAlignment="1">
      <alignment horizontal="left"/>
    </xf>
    <xf numFmtId="164" fontId="2" fillId="0" borderId="8" xfId="3" applyNumberFormat="1" applyFont="1" applyBorder="1"/>
    <xf numFmtId="164" fontId="2" fillId="0" borderId="0" xfId="9" applyNumberFormat="1" applyFont="1" applyBorder="1" applyAlignment="1">
      <alignment horizontal="center"/>
    </xf>
    <xf numFmtId="164" fontId="2" fillId="0" borderId="0" xfId="3" applyNumberFormat="1" applyFont="1" applyAlignment="1">
      <alignment horizontal="center"/>
    </xf>
    <xf numFmtId="9" fontId="2" fillId="0" borderId="0" xfId="3" applyNumberFormat="1" applyFont="1"/>
    <xf numFmtId="164" fontId="2" fillId="0" borderId="0" xfId="3" applyNumberFormat="1" applyFont="1"/>
    <xf numFmtId="0" fontId="3" fillId="5" borderId="8" xfId="4" applyFont="1" applyFill="1" applyBorder="1" applyAlignment="1">
      <alignment horizontal="right"/>
    </xf>
    <xf numFmtId="164" fontId="2" fillId="0" borderId="8" xfId="18" applyNumberFormat="1" applyFont="1" applyBorder="1" applyAlignment="1">
      <alignment horizontal="center" wrapText="1"/>
    </xf>
    <xf numFmtId="164" fontId="3" fillId="3" borderId="8" xfId="48" applyNumberFormat="1" applyFont="1" applyFill="1" applyBorder="1"/>
    <xf numFmtId="164" fontId="2" fillId="0" borderId="7" xfId="5" applyNumberFormat="1" applyFont="1" applyBorder="1"/>
    <xf numFmtId="0" fontId="12" fillId="2" borderId="0" xfId="4" applyFont="1" applyFill="1"/>
    <xf numFmtId="164" fontId="2" fillId="0" borderId="0" xfId="18" applyNumberFormat="1" applyFont="1" applyBorder="1" applyAlignment="1">
      <alignment horizontal="left" wrapText="1"/>
    </xf>
    <xf numFmtId="164" fontId="2" fillId="0" borderId="8" xfId="18" applyNumberFormat="1" applyFont="1" applyBorder="1" applyAlignment="1">
      <alignment horizontal="center"/>
    </xf>
    <xf numFmtId="164" fontId="2" fillId="0" borderId="8" xfId="3" applyNumberFormat="1" applyFont="1" applyBorder="1" applyAlignment="1">
      <alignment horizontal="right"/>
    </xf>
    <xf numFmtId="41" fontId="2" fillId="0" borderId="0" xfId="55" applyFont="1" applyBorder="1"/>
    <xf numFmtId="0" fontId="3" fillId="3" borderId="11" xfId="4" applyFont="1" applyFill="1" applyBorder="1" applyAlignment="1">
      <alignment horizontal="left" wrapText="1"/>
    </xf>
    <xf numFmtId="164" fontId="2" fillId="0" borderId="8" xfId="9" applyNumberFormat="1" applyFont="1" applyBorder="1" applyAlignment="1">
      <alignment horizontal="left"/>
    </xf>
    <xf numFmtId="164" fontId="3" fillId="3" borderId="8" xfId="18" applyNumberFormat="1" applyFont="1" applyFill="1" applyBorder="1" applyAlignment="1">
      <alignment horizontal="left" wrapText="1"/>
    </xf>
    <xf numFmtId="165" fontId="2" fillId="0" borderId="0" xfId="3" applyNumberFormat="1" applyFont="1"/>
    <xf numFmtId="0" fontId="3" fillId="4" borderId="8" xfId="3" applyFont="1" applyFill="1" applyBorder="1" applyAlignment="1">
      <alignment horizontal="left" vertical="center" wrapText="1"/>
    </xf>
    <xf numFmtId="0" fontId="3" fillId="4" borderId="8" xfId="3" applyFont="1" applyFill="1" applyBorder="1" applyAlignment="1">
      <alignment horizontal="center" vertical="center" wrapText="1"/>
    </xf>
    <xf numFmtId="164" fontId="3" fillId="4" borderId="8" xfId="3" applyNumberFormat="1" applyFont="1" applyFill="1" applyBorder="1" applyAlignment="1">
      <alignment horizontal="center" vertical="center" wrapText="1"/>
    </xf>
    <xf numFmtId="9" fontId="2" fillId="0" borderId="8" xfId="54" applyFont="1" applyBorder="1" applyAlignment="1">
      <alignment horizontal="center" vertical="center"/>
    </xf>
    <xf numFmtId="167" fontId="2" fillId="0" borderId="8" xfId="55" applyNumberFormat="1" applyFont="1" applyBorder="1" applyAlignment="1">
      <alignment horizontal="center" vertical="center"/>
    </xf>
    <xf numFmtId="41" fontId="2" fillId="0" borderId="8" xfId="55" applyFont="1" applyBorder="1" applyAlignment="1">
      <alignment horizontal="center" vertical="center"/>
    </xf>
    <xf numFmtId="164" fontId="3" fillId="18" borderId="8" xfId="18" applyNumberFormat="1" applyFont="1" applyFill="1" applyBorder="1" applyAlignment="1">
      <alignment horizontal="center" vertical="center"/>
    </xf>
    <xf numFmtId="168" fontId="2" fillId="5" borderId="8" xfId="0" applyNumberFormat="1" applyFont="1" applyFill="1" applyBorder="1" applyAlignment="1">
      <alignment horizontal="center" vertical="center"/>
    </xf>
    <xf numFmtId="9" fontId="2" fillId="0" borderId="8" xfId="54" applyFont="1" applyBorder="1" applyAlignment="1">
      <alignment horizontal="right" vertical="center"/>
    </xf>
    <xf numFmtId="0" fontId="0" fillId="0" borderId="0" xfId="0" applyAlignment="1">
      <alignment vertical="center"/>
    </xf>
    <xf numFmtId="9" fontId="0" fillId="0" borderId="0" xfId="0" applyNumberFormat="1" applyAlignment="1">
      <alignment vertical="center"/>
    </xf>
    <xf numFmtId="164" fontId="2" fillId="0" borderId="0" xfId="9" applyNumberFormat="1" applyFont="1" applyBorder="1" applyAlignment="1">
      <alignment horizontal="left"/>
    </xf>
    <xf numFmtId="9" fontId="2" fillId="0" borderId="0" xfId="54" applyFont="1" applyBorder="1" applyAlignment="1">
      <alignment horizontal="center" vertical="center"/>
    </xf>
    <xf numFmtId="167" fontId="2" fillId="0" borderId="0" xfId="55" applyNumberFormat="1" applyFont="1" applyBorder="1" applyAlignment="1">
      <alignment horizontal="center" vertical="center"/>
    </xf>
    <xf numFmtId="41" fontId="2" fillId="0" borderId="0" xfId="55" applyFont="1" applyBorder="1" applyAlignment="1">
      <alignment horizontal="center" vertical="center"/>
    </xf>
    <xf numFmtId="0" fontId="2" fillId="0" borderId="0" xfId="0" applyFont="1"/>
    <xf numFmtId="0" fontId="2" fillId="2" borderId="8" xfId="0" applyFont="1" applyFill="1" applyBorder="1"/>
    <xf numFmtId="41" fontId="0" fillId="0" borderId="0" xfId="0" applyNumberFormat="1"/>
    <xf numFmtId="3" fontId="0" fillId="0" borderId="0" xfId="0" applyNumberFormat="1"/>
    <xf numFmtId="41" fontId="0" fillId="0" borderId="0" xfId="55" applyFont="1"/>
    <xf numFmtId="0" fontId="2" fillId="2" borderId="11" xfId="0" applyFont="1" applyFill="1" applyBorder="1"/>
    <xf numFmtId="164" fontId="14" fillId="0" borderId="8" xfId="3" applyNumberFormat="1" applyFont="1" applyBorder="1"/>
    <xf numFmtId="164" fontId="3" fillId="3" borderId="8" xfId="18" applyNumberFormat="1" applyFont="1" applyFill="1" applyBorder="1" applyAlignment="1">
      <alignment horizontal="center" vertical="center" wrapText="1"/>
    </xf>
    <xf numFmtId="0" fontId="3" fillId="2" borderId="8" xfId="4" applyFont="1" applyFill="1" applyBorder="1"/>
    <xf numFmtId="164" fontId="3" fillId="2" borderId="0" xfId="4" applyNumberFormat="1" applyFont="1" applyFill="1"/>
    <xf numFmtId="0" fontId="2" fillId="0" borderId="8" xfId="3" applyFont="1" applyBorder="1" applyAlignment="1">
      <alignment vertical="center"/>
    </xf>
    <xf numFmtId="0" fontId="3" fillId="3" borderId="8" xfId="3" applyFont="1" applyFill="1" applyBorder="1" applyAlignment="1">
      <alignment horizontal="center" vertical="center" wrapText="1"/>
    </xf>
    <xf numFmtId="166" fontId="2" fillId="0" borderId="8" xfId="3" applyNumberFormat="1" applyFont="1" applyBorder="1"/>
    <xf numFmtId="0" fontId="3" fillId="3" borderId="11" xfId="3" applyFont="1" applyFill="1" applyBorder="1"/>
    <xf numFmtId="0" fontId="2" fillId="0" borderId="8" xfId="13" applyFont="1" applyBorder="1"/>
    <xf numFmtId="3" fontId="2" fillId="0" borderId="8" xfId="13" applyNumberFormat="1" applyFont="1" applyBorder="1"/>
    <xf numFmtId="164" fontId="2" fillId="2" borderId="0" xfId="4" applyNumberFormat="1" applyFont="1" applyFill="1"/>
    <xf numFmtId="0" fontId="2" fillId="0" borderId="11" xfId="13" applyFont="1" applyBorder="1"/>
    <xf numFmtId="3" fontId="4" fillId="0" borderId="8" xfId="13" applyNumberFormat="1" applyFont="1" applyBorder="1"/>
    <xf numFmtId="0" fontId="2" fillId="2" borderId="8" xfId="13" applyFont="1" applyFill="1" applyBorder="1"/>
    <xf numFmtId="3" fontId="2" fillId="2" borderId="8" xfId="13" applyNumberFormat="1" applyFont="1" applyFill="1" applyBorder="1"/>
    <xf numFmtId="9" fontId="3" fillId="3" borderId="8" xfId="4" applyNumberFormat="1" applyFont="1" applyFill="1" applyBorder="1"/>
    <xf numFmtId="3" fontId="14" fillId="2" borderId="0" xfId="13" applyNumberFormat="1" applyFont="1" applyFill="1"/>
    <xf numFmtId="165" fontId="2" fillId="0" borderId="8" xfId="13" applyNumberFormat="1" applyFont="1" applyBorder="1"/>
    <xf numFmtId="164" fontId="4" fillId="2" borderId="8" xfId="18" applyNumberFormat="1" applyFont="1" applyFill="1" applyBorder="1"/>
    <xf numFmtId="164" fontId="4" fillId="0" borderId="8" xfId="13" applyNumberFormat="1" applyFont="1" applyBorder="1"/>
    <xf numFmtId="0" fontId="2" fillId="0" borderId="7" xfId="4" applyFont="1" applyBorder="1"/>
    <xf numFmtId="164" fontId="2" fillId="2" borderId="7" xfId="18" applyNumberFormat="1" applyFont="1" applyFill="1" applyBorder="1"/>
    <xf numFmtId="0" fontId="3" fillId="2" borderId="8" xfId="4" applyFont="1" applyFill="1" applyBorder="1" applyAlignment="1">
      <alignment horizontal="left" wrapText="1"/>
    </xf>
    <xf numFmtId="164" fontId="2" fillId="0" borderId="0" xfId="13" applyNumberFormat="1" applyFont="1"/>
    <xf numFmtId="0" fontId="3" fillId="3" borderId="8" xfId="3" applyFont="1" applyFill="1" applyBorder="1" applyAlignment="1">
      <alignment horizontal="left" vertical="center" wrapText="1"/>
    </xf>
    <xf numFmtId="164" fontId="3" fillId="3" borderId="8" xfId="18" applyNumberFormat="1" applyFont="1" applyFill="1" applyBorder="1" applyAlignment="1">
      <alignment horizontal="left" vertical="center" wrapText="1"/>
    </xf>
    <xf numFmtId="164" fontId="26" fillId="15" borderId="8" xfId="18" applyNumberFormat="1" applyFont="1" applyFill="1" applyBorder="1" applyAlignment="1">
      <alignment horizontal="left" vertical="center" wrapText="1"/>
    </xf>
    <xf numFmtId="164" fontId="2" fillId="2" borderId="8" xfId="18" applyNumberFormat="1" applyFont="1" applyFill="1" applyBorder="1" applyAlignment="1">
      <alignment horizontal="left" vertical="center"/>
    </xf>
    <xf numFmtId="164" fontId="3" fillId="15" borderId="8" xfId="18" applyNumberFormat="1" applyFont="1" applyFill="1" applyBorder="1" applyAlignment="1">
      <alignment horizontal="left" vertical="center"/>
    </xf>
    <xf numFmtId="0" fontId="3" fillId="0" borderId="8" xfId="2" applyFont="1" applyBorder="1" applyAlignment="1">
      <alignment horizontal="center" vertical="center"/>
    </xf>
    <xf numFmtId="0" fontId="2" fillId="2" borderId="0" xfId="2" applyFont="1" applyFill="1" applyAlignment="1">
      <alignment horizontal="center"/>
    </xf>
    <xf numFmtId="0" fontId="3" fillId="2" borderId="0" xfId="2" applyFont="1" applyFill="1" applyAlignment="1">
      <alignment horizontal="center" vertical="center"/>
    </xf>
    <xf numFmtId="0" fontId="4" fillId="0" borderId="1" xfId="2" applyFont="1" applyBorder="1" applyAlignment="1">
      <alignment horizontal="justify" vertical="top" wrapText="1"/>
    </xf>
    <xf numFmtId="0" fontId="4" fillId="0" borderId="2" xfId="2" applyFont="1" applyBorder="1" applyAlignment="1">
      <alignment horizontal="justify" vertical="top" wrapText="1"/>
    </xf>
    <xf numFmtId="0" fontId="4" fillId="0" borderId="3" xfId="2" applyFont="1" applyBorder="1" applyAlignment="1">
      <alignment horizontal="justify" vertical="top" wrapText="1"/>
    </xf>
    <xf numFmtId="0" fontId="4" fillId="0" borderId="4" xfId="2" applyFont="1" applyBorder="1" applyAlignment="1">
      <alignment horizontal="justify" vertical="top"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2" fillId="0" borderId="7" xfId="2" applyFont="1" applyBorder="1" applyAlignment="1">
      <alignment horizontal="justify" vertical="center" wrapText="1"/>
    </xf>
    <xf numFmtId="0" fontId="2" fillId="0" borderId="8" xfId="2" applyFont="1" applyBorder="1" applyAlignment="1">
      <alignment horizontal="justify"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9" xfId="2" applyFont="1" applyBorder="1" applyAlignment="1">
      <alignment horizontal="justify" vertical="center" wrapText="1"/>
    </xf>
    <xf numFmtId="0" fontId="2" fillId="0" borderId="10" xfId="2" applyFont="1" applyBorder="1" applyAlignment="1">
      <alignment horizontal="justify" vertical="center" wrapText="1"/>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2" fillId="0" borderId="12" xfId="2" applyFont="1" applyBorder="1" applyAlignment="1">
      <alignment horizontal="left" vertical="center" wrapText="1"/>
    </xf>
    <xf numFmtId="0" fontId="3" fillId="2" borderId="8" xfId="2" applyFont="1" applyFill="1" applyBorder="1" applyAlignment="1">
      <alignment vertical="center" wrapText="1"/>
    </xf>
    <xf numFmtId="0" fontId="2" fillId="2" borderId="8" xfId="2" applyFont="1" applyFill="1" applyBorder="1" applyAlignment="1">
      <alignment wrapText="1"/>
    </xf>
    <xf numFmtId="0" fontId="2" fillId="2" borderId="8" xfId="3" applyFont="1" applyFill="1" applyBorder="1" applyAlignment="1">
      <alignment horizontal="justify" vertical="center" wrapText="1"/>
    </xf>
    <xf numFmtId="0" fontId="2" fillId="2" borderId="8" xfId="2" applyFont="1" applyFill="1" applyBorder="1" applyAlignment="1">
      <alignment horizontal="justify" vertical="center" wrapText="1"/>
    </xf>
    <xf numFmtId="0" fontId="2" fillId="0" borderId="13" xfId="3" applyFont="1" applyBorder="1" applyAlignment="1">
      <alignment horizontal="center"/>
    </xf>
    <xf numFmtId="0" fontId="2" fillId="0" borderId="14" xfId="3" applyFont="1" applyBorder="1" applyAlignment="1">
      <alignment horizontal="center"/>
    </xf>
    <xf numFmtId="0" fontId="2" fillId="0" borderId="17" xfId="3" applyFont="1" applyBorder="1" applyAlignment="1">
      <alignment horizontal="center"/>
    </xf>
    <xf numFmtId="0" fontId="2" fillId="0" borderId="0" xfId="3" applyFont="1" applyAlignment="1">
      <alignment horizontal="center"/>
    </xf>
    <xf numFmtId="0" fontId="2" fillId="0" borderId="18" xfId="3" applyFont="1" applyBorder="1" applyAlignment="1">
      <alignment horizontal="center"/>
    </xf>
    <xf numFmtId="0" fontId="2" fillId="0" borderId="19" xfId="3" applyFont="1" applyBorder="1" applyAlignment="1">
      <alignment horizontal="center"/>
    </xf>
    <xf numFmtId="0" fontId="3" fillId="0" borderId="8" xfId="3" applyFont="1" applyBorder="1" applyAlignment="1">
      <alignment horizontal="center" vertical="center" wrapText="1"/>
    </xf>
    <xf numFmtId="0" fontId="2" fillId="0" borderId="8" xfId="2" applyFont="1" applyBorder="1" applyAlignment="1">
      <alignment horizontal="center" vertical="center" wrapText="1"/>
    </xf>
    <xf numFmtId="0" fontId="2" fillId="0" borderId="15" xfId="3" applyFont="1" applyBorder="1" applyAlignment="1">
      <alignment horizontal="center"/>
    </xf>
    <xf numFmtId="0" fontId="2" fillId="0" borderId="16" xfId="3" applyFont="1" applyBorder="1" applyAlignment="1">
      <alignment horizontal="center"/>
    </xf>
    <xf numFmtId="0" fontId="8" fillId="0" borderId="20" xfId="3" applyFont="1" applyBorder="1" applyAlignment="1">
      <alignment horizontal="left" vertical="center" wrapText="1"/>
    </xf>
    <xf numFmtId="0" fontId="8" fillId="0" borderId="21" xfId="3" applyFont="1" applyBorder="1" applyAlignment="1">
      <alignment horizontal="left" vertical="center" wrapText="1"/>
    </xf>
    <xf numFmtId="0" fontId="2" fillId="0" borderId="9" xfId="3" applyFont="1" applyBorder="1" applyAlignment="1">
      <alignment horizontal="justify" wrapText="1"/>
    </xf>
    <xf numFmtId="0" fontId="2" fillId="0" borderId="22" xfId="2" applyFont="1" applyBorder="1" applyAlignment="1">
      <alignment horizontal="justify" wrapText="1"/>
    </xf>
    <xf numFmtId="0" fontId="2" fillId="0" borderId="10" xfId="2" applyFont="1" applyBorder="1" applyAlignment="1">
      <alignment horizontal="justify" wrapText="1"/>
    </xf>
    <xf numFmtId="0" fontId="4" fillId="2" borderId="0" xfId="2" applyFont="1" applyFill="1" applyAlignment="1">
      <alignment horizontal="justify" vertical="center" wrapText="1"/>
    </xf>
    <xf numFmtId="0" fontId="2" fillId="2" borderId="0" xfId="2" applyFont="1" applyFill="1" applyAlignment="1">
      <alignment wrapText="1"/>
    </xf>
    <xf numFmtId="0" fontId="2" fillId="2" borderId="23" xfId="2" applyFont="1" applyFill="1" applyBorder="1" applyAlignment="1">
      <alignment wrapText="1"/>
    </xf>
    <xf numFmtId="0" fontId="2" fillId="0" borderId="0" xfId="3" applyFont="1" applyAlignment="1">
      <alignment wrapText="1"/>
    </xf>
    <xf numFmtId="0" fontId="2" fillId="0" borderId="0" xfId="2" applyFont="1" applyAlignment="1">
      <alignment wrapText="1"/>
    </xf>
    <xf numFmtId="0" fontId="2" fillId="2" borderId="8" xfId="3" applyFont="1" applyFill="1" applyBorder="1" applyAlignment="1">
      <alignment horizontal="justify" vertical="top" wrapText="1"/>
    </xf>
    <xf numFmtId="0" fontId="2" fillId="2" borderId="8" xfId="2" applyFont="1" applyFill="1" applyBorder="1" applyAlignment="1">
      <alignment horizontal="justify" vertical="top" wrapText="1"/>
    </xf>
    <xf numFmtId="0" fontId="3" fillId="3" borderId="0" xfId="3" applyFont="1" applyFill="1" applyAlignment="1">
      <alignment horizontal="left" wrapText="1"/>
    </xf>
    <xf numFmtId="0" fontId="3" fillId="3" borderId="0" xfId="2" applyFont="1" applyFill="1" applyAlignment="1">
      <alignment horizontal="left" wrapText="1"/>
    </xf>
    <xf numFmtId="0" fontId="3" fillId="0" borderId="20" xfId="3" applyFont="1" applyBorder="1" applyAlignment="1">
      <alignment horizontal="justify" vertical="center" wrapText="1"/>
    </xf>
    <xf numFmtId="0" fontId="3" fillId="0" borderId="21" xfId="3" applyFont="1" applyBorder="1" applyAlignment="1">
      <alignment horizontal="justify" vertical="center" wrapText="1"/>
    </xf>
    <xf numFmtId="0" fontId="2" fillId="0" borderId="9" xfId="3" applyFont="1" applyBorder="1" applyAlignment="1">
      <alignment horizontal="left" wrapText="1"/>
    </xf>
    <xf numFmtId="0" fontId="2" fillId="0" borderId="22" xfId="2" applyFont="1" applyBorder="1" applyAlignment="1">
      <alignment horizontal="left" wrapText="1"/>
    </xf>
    <xf numFmtId="0" fontId="2" fillId="0" borderId="10" xfId="2" applyFont="1" applyBorder="1" applyAlignment="1">
      <alignment horizontal="left" wrapText="1"/>
    </xf>
    <xf numFmtId="0" fontId="2" fillId="0" borderId="9" xfId="3" applyFont="1" applyBorder="1" applyAlignment="1">
      <alignment horizontal="left" vertical="center" wrapText="1"/>
    </xf>
    <xf numFmtId="0" fontId="2" fillId="0" borderId="22" xfId="2" applyFont="1" applyBorder="1" applyAlignment="1">
      <alignment horizontal="left" vertical="center" wrapText="1"/>
    </xf>
    <xf numFmtId="0" fontId="2" fillId="0" borderId="12" xfId="4" applyFont="1" applyBorder="1" applyAlignment="1">
      <alignment horizontal="left" wrapText="1"/>
    </xf>
    <xf numFmtId="0" fontId="2" fillId="0" borderId="12" xfId="4" applyFont="1" applyBorder="1" applyAlignment="1">
      <alignment wrapText="1"/>
    </xf>
    <xf numFmtId="0" fontId="3" fillId="3" borderId="8" xfId="4" applyFont="1" applyFill="1" applyBorder="1" applyAlignment="1">
      <alignment wrapText="1"/>
    </xf>
    <xf numFmtId="0" fontId="2" fillId="3" borderId="8" xfId="4" applyFont="1" applyFill="1" applyBorder="1" applyAlignment="1">
      <alignment wrapText="1"/>
    </xf>
    <xf numFmtId="0" fontId="3" fillId="3" borderId="9" xfId="4" applyFont="1" applyFill="1" applyBorder="1" applyAlignment="1">
      <alignment wrapText="1"/>
    </xf>
    <xf numFmtId="0" fontId="3" fillId="3" borderId="10" xfId="4" applyFont="1" applyFill="1" applyBorder="1" applyAlignment="1">
      <alignment wrapText="1"/>
    </xf>
    <xf numFmtId="0" fontId="2" fillId="0" borderId="0" xfId="4" applyFont="1" applyAlignment="1">
      <alignment horizontal="justify" vertical="justify" wrapText="1"/>
    </xf>
    <xf numFmtId="0" fontId="4" fillId="0" borderId="12" xfId="4" applyFont="1" applyBorder="1" applyAlignment="1">
      <alignment wrapText="1"/>
    </xf>
    <xf numFmtId="0" fontId="11" fillId="2" borderId="11"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0" fillId="2" borderId="7" xfId="0" applyFill="1" applyBorder="1" applyAlignment="1">
      <alignment wrapText="1"/>
    </xf>
    <xf numFmtId="0" fontId="11" fillId="2" borderId="11" xfId="4" applyFont="1" applyFill="1" applyBorder="1" applyAlignment="1">
      <alignment horizontal="left" vertical="center"/>
    </xf>
    <xf numFmtId="0" fontId="0" fillId="2" borderId="24" xfId="0" applyFill="1" applyBorder="1"/>
    <xf numFmtId="0" fontId="0" fillId="2" borderId="7" xfId="0" applyFill="1" applyBorder="1"/>
    <xf numFmtId="0" fontId="11" fillId="2" borderId="8" xfId="4" applyFont="1" applyFill="1" applyBorder="1" applyAlignment="1">
      <alignment wrapText="1"/>
    </xf>
    <xf numFmtId="0" fontId="0" fillId="2" borderId="8" xfId="0" applyFill="1" applyBorder="1" applyAlignment="1">
      <alignment wrapText="1"/>
    </xf>
    <xf numFmtId="0" fontId="11" fillId="2" borderId="8" xfId="4" applyFont="1" applyFill="1" applyBorder="1" applyAlignment="1">
      <alignment horizontal="left" vertical="center"/>
    </xf>
    <xf numFmtId="0" fontId="3" fillId="2" borderId="12" xfId="4" applyFont="1" applyFill="1" applyBorder="1" applyAlignment="1">
      <alignment wrapText="1"/>
    </xf>
    <xf numFmtId="0" fontId="2" fillId="2" borderId="12" xfId="4" applyFont="1" applyFill="1" applyBorder="1" applyAlignment="1">
      <alignment wrapText="1"/>
    </xf>
    <xf numFmtId="0" fontId="3" fillId="3" borderId="8" xfId="4" applyFont="1" applyFill="1" applyBorder="1" applyAlignment="1">
      <alignment horizontal="left" wrapText="1"/>
    </xf>
    <xf numFmtId="0" fontId="2" fillId="0" borderId="12" xfId="4" applyFont="1" applyBorder="1" applyAlignment="1">
      <alignment horizontal="justify" wrapText="1"/>
    </xf>
    <xf numFmtId="0" fontId="3" fillId="4" borderId="8" xfId="4" applyFont="1" applyFill="1" applyBorder="1" applyAlignment="1">
      <alignment horizontal="center" wrapText="1"/>
    </xf>
    <xf numFmtId="0" fontId="3" fillId="16" borderId="8" xfId="4" applyFont="1" applyFill="1" applyBorder="1" applyAlignment="1">
      <alignment horizontal="center" wrapText="1"/>
    </xf>
    <xf numFmtId="0" fontId="32" fillId="17" borderId="9" xfId="4" applyFont="1" applyFill="1" applyBorder="1" applyAlignment="1">
      <alignment horizontal="center" vertical="center" wrapText="1"/>
    </xf>
    <xf numFmtId="0" fontId="32" fillId="17" borderId="22" xfId="4" applyFont="1" applyFill="1" applyBorder="1" applyAlignment="1">
      <alignment horizontal="center" vertical="center" wrapText="1"/>
    </xf>
    <xf numFmtId="0" fontId="32" fillId="17" borderId="10" xfId="4" applyFont="1" applyFill="1" applyBorder="1" applyAlignment="1">
      <alignment horizontal="center" vertical="center" wrapText="1"/>
    </xf>
    <xf numFmtId="0" fontId="33" fillId="17" borderId="11" xfId="4" applyFont="1" applyFill="1" applyBorder="1" applyAlignment="1">
      <alignment horizontal="center" vertical="center" wrapText="1"/>
    </xf>
    <xf numFmtId="0" fontId="33" fillId="17" borderId="24" xfId="4" applyFont="1" applyFill="1" applyBorder="1" applyAlignment="1">
      <alignment horizontal="center" vertical="center" wrapText="1"/>
    </xf>
    <xf numFmtId="0" fontId="33" fillId="17" borderId="7" xfId="4" applyFont="1" applyFill="1" applyBorder="1" applyAlignment="1">
      <alignment horizontal="center" vertical="center" wrapText="1"/>
    </xf>
    <xf numFmtId="0" fontId="3" fillId="16" borderId="8" xfId="4" applyFont="1" applyFill="1" applyBorder="1" applyAlignment="1">
      <alignment wrapText="1"/>
    </xf>
    <xf numFmtId="0" fontId="2" fillId="0" borderId="8" xfId="4" applyFont="1" applyBorder="1" applyAlignment="1">
      <alignment wrapText="1"/>
    </xf>
    <xf numFmtId="0" fontId="29" fillId="0" borderId="0" xfId="18" applyNumberFormat="1" applyFont="1" applyAlignment="1">
      <alignment horizontal="center" wrapText="1"/>
    </xf>
    <xf numFmtId="0" fontId="0" fillId="0" borderId="0" xfId="0" applyAlignment="1">
      <alignment horizontal="center" wrapText="1"/>
    </xf>
    <xf numFmtId="0" fontId="3" fillId="2" borderId="0" xfId="4" applyFont="1" applyFill="1" applyAlignment="1">
      <alignment horizontal="left" wrapText="1"/>
    </xf>
    <xf numFmtId="0" fontId="2" fillId="0" borderId="0" xfId="3" applyFont="1" applyAlignment="1">
      <alignment horizontal="left" wrapText="1"/>
    </xf>
    <xf numFmtId="0" fontId="2" fillId="0" borderId="25" xfId="3" applyFont="1" applyBorder="1" applyAlignment="1">
      <alignment horizontal="left" wrapText="1"/>
    </xf>
    <xf numFmtId="0" fontId="3" fillId="2" borderId="0" xfId="4" applyFont="1" applyFill="1" applyAlignment="1">
      <alignment horizontal="left" vertical="center" wrapText="1"/>
    </xf>
    <xf numFmtId="0" fontId="2" fillId="0" borderId="0" xfId="3" applyFont="1" applyAlignment="1">
      <alignment horizontal="left" vertical="center" wrapText="1"/>
    </xf>
    <xf numFmtId="0" fontId="0" fillId="0" borderId="0" xfId="0" applyAlignment="1">
      <alignment wrapText="1"/>
    </xf>
    <xf numFmtId="0" fontId="11" fillId="2" borderId="0" xfId="4" applyFont="1" applyFill="1" applyAlignment="1">
      <alignment horizontal="left" wrapText="1"/>
    </xf>
    <xf numFmtId="0" fontId="4" fillId="0" borderId="0" xfId="3" applyFont="1" applyAlignment="1">
      <alignment horizontal="left" wrapText="1"/>
    </xf>
    <xf numFmtId="0" fontId="4" fillId="0" borderId="25" xfId="3" applyFont="1" applyBorder="1" applyAlignment="1">
      <alignment horizontal="left" wrapText="1"/>
    </xf>
    <xf numFmtId="0" fontId="11" fillId="2" borderId="0" xfId="57" applyFont="1" applyFill="1" applyAlignment="1">
      <alignment horizontal="left" vertical="center" wrapText="1"/>
    </xf>
    <xf numFmtId="0" fontId="4" fillId="0" borderId="0" xfId="52" applyFont="1" applyAlignment="1">
      <alignment horizontal="left" vertical="center" wrapText="1"/>
    </xf>
  </cellXfs>
  <cellStyles count="61">
    <cellStyle name="Hipervínculo" xfId="60" builtinId="8"/>
    <cellStyle name="Hipervínculo 2" xfId="6"/>
    <cellStyle name="Millares" xfId="18" builtinId="3"/>
    <cellStyle name="Millares [0]" xfId="55" builtinId="6"/>
    <cellStyle name="Millares [0] 2" xfId="15"/>
    <cellStyle name="Millares [0] 2 2" xfId="26"/>
    <cellStyle name="Millares [0] 2 2 2" xfId="45"/>
    <cellStyle name="Millares [0] 2 3" xfId="36"/>
    <cellStyle name="Millares [0] 3" xfId="47"/>
    <cellStyle name="Millares 2" xfId="8"/>
    <cellStyle name="Millares 2 2" xfId="9"/>
    <cellStyle name="Millares 2 2 2" xfId="5"/>
    <cellStyle name="Millares 2 2 2 2" xfId="20"/>
    <cellStyle name="Millares 2 2 2 2 2" xfId="39"/>
    <cellStyle name="Millares 2 2 2 3" xfId="30"/>
    <cellStyle name="Millares 2 2 3" xfId="23"/>
    <cellStyle name="Millares 2 2 3 2" xfId="42"/>
    <cellStyle name="Millares 2 2 4" xfId="33"/>
    <cellStyle name="Millares 2 3" xfId="22"/>
    <cellStyle name="Millares 2 3 2" xfId="41"/>
    <cellStyle name="Millares 2 4" xfId="32"/>
    <cellStyle name="Millares 3" xfId="14"/>
    <cellStyle name="Millares 3 2" xfId="25"/>
    <cellStyle name="Millares 3 2 2" xfId="44"/>
    <cellStyle name="Millares 3 3" xfId="35"/>
    <cellStyle name="Millares 4" xfId="27"/>
    <cellStyle name="Millares 4 2" xfId="46"/>
    <cellStyle name="Millares 5" xfId="37"/>
    <cellStyle name="Millares 6" xfId="48"/>
    <cellStyle name="Moneda" xfId="1" builtinId="4"/>
    <cellStyle name="Moneda 2" xfId="10"/>
    <cellStyle name="Moneda 2 2" xfId="7"/>
    <cellStyle name="Moneda 2 2 2" xfId="21"/>
    <cellStyle name="Moneda 2 2 2 2" xfId="40"/>
    <cellStyle name="Moneda 2 2 2 3" xfId="58"/>
    <cellStyle name="Moneda 2 2 3" xfId="31"/>
    <cellStyle name="Moneda 2 3" xfId="24"/>
    <cellStyle name="Moneda 2 3 2" xfId="43"/>
    <cellStyle name="Moneda 2 4" xfId="34"/>
    <cellStyle name="Moneda 3" xfId="19"/>
    <cellStyle name="Moneda 3 2" xfId="38"/>
    <cellStyle name="Moneda 4" xfId="29"/>
    <cellStyle name="Normal" xfId="0" builtinId="0"/>
    <cellStyle name="Normal 2" xfId="11"/>
    <cellStyle name="Normal 2 2" xfId="4"/>
    <cellStyle name="Normal 2 2 2" xfId="16"/>
    <cellStyle name="Normal 2 2 3" xfId="13"/>
    <cellStyle name="Normal 2 2 3 3" xfId="59"/>
    <cellStyle name="Normal 2 2 4" xfId="56"/>
    <cellStyle name="Normal 2 2 4 3" xfId="57"/>
    <cellStyle name="Normal 2 2 5" xfId="51"/>
    <cellStyle name="Normal 2 3" xfId="50"/>
    <cellStyle name="Normal 2 3 2" xfId="53"/>
    <cellStyle name="Normal 2 4" xfId="52"/>
    <cellStyle name="Normal 3" xfId="2"/>
    <cellStyle name="Normal 3 2" xfId="3"/>
    <cellStyle name="Normal 3 3" xfId="49"/>
    <cellStyle name="Normal 6" xfId="17"/>
    <cellStyle name="Porcentaje" xfId="54" builtinId="5"/>
    <cellStyle name="Porcentaje 2" xfId="12"/>
    <cellStyle name="Porcentaje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BC493488-C560-4D37-8EA3-C48157CC4CF1}"/>
            </a:ext>
          </a:extLst>
        </xdr:cNvPr>
        <xdr:cNvSpPr/>
      </xdr:nvSpPr>
      <xdr:spPr>
        <a:xfrm>
          <a:off x="285511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D352AA5C-6F25-44EC-ABA3-DAD90B7EC688}"/>
            </a:ext>
          </a:extLst>
        </xdr:cNvPr>
        <xdr:cNvSpPr/>
      </xdr:nvSpPr>
      <xdr:spPr>
        <a:xfrm>
          <a:off x="284876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EC62EE6C-FA8D-4D4A-9672-F1107852FAA6}"/>
            </a:ext>
          </a:extLst>
        </xdr:cNvPr>
        <xdr:cNvSpPr/>
      </xdr:nvSpPr>
      <xdr:spPr>
        <a:xfrm>
          <a:off x="284241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8632BF71-2D9E-4DC3-A4E5-BD8B9C505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0F16CDCA-957A-4632-8350-589ABEA27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id="{9689747B-BB2C-4D3D-B01C-56FFE7D006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193586" y="23806"/>
          <a:ext cx="2301884" cy="498561"/>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27C3A8E-24EB-411D-98D4-2466689C6544}"/>
            </a:ext>
          </a:extLst>
        </xdr:cNvPr>
        <xdr:cNvSpPr/>
      </xdr:nvSpPr>
      <xdr:spPr>
        <a:xfrm>
          <a:off x="9910000" y="9746343"/>
          <a:ext cx="230286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827616</xdr:colOff>
      <xdr:row>140</xdr:row>
      <xdr:rowOff>84667</xdr:rowOff>
    </xdr:from>
    <xdr:to>
      <xdr:col>2</xdr:col>
      <xdr:colOff>3153833</xdr:colOff>
      <xdr:row>152</xdr:row>
      <xdr:rowOff>45583</xdr:rowOff>
    </xdr:to>
    <xdr:pic>
      <xdr:nvPicPr>
        <xdr:cNvPr id="2" name="Imagen 1">
          <a:extLst>
            <a:ext uri="{FF2B5EF4-FFF2-40B4-BE49-F238E27FC236}">
              <a16:creationId xmlns:a16="http://schemas.microsoft.com/office/drawing/2014/main" id="{988301F7-9D94-4A58-8FB9-82298EE63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62" r="18053"/>
        <a:stretch/>
      </xdr:blipFill>
      <xdr:spPr bwMode="auto">
        <a:xfrm>
          <a:off x="7882466" y="25110017"/>
          <a:ext cx="2326217" cy="2094516"/>
        </a:xfrm>
        <a:prstGeom prst="rect">
          <a:avLst/>
        </a:prstGeom>
        <a:noFill/>
        <a:ln w="12700">
          <a:solidFill>
            <a:schemeClr val="tx1"/>
          </a:solidFill>
        </a:ln>
        <a:extLst>
          <a:ext uri="{53640926-AAD7-44D8-BBD7-CCE9431645EC}">
            <a14:shadowObscured xmlns:a14="http://schemas.microsoft.com/office/drawing/2010/main"/>
          </a:ext>
        </a:extLst>
      </xdr:spPr>
    </xdr:pic>
    <xdr:clientData/>
  </xdr:twoCellAnchor>
  <xdr:twoCellAnchor editAs="oneCell">
    <xdr:from>
      <xdr:col>24</xdr:col>
      <xdr:colOff>467933</xdr:colOff>
      <xdr:row>158</xdr:row>
      <xdr:rowOff>16631</xdr:rowOff>
    </xdr:from>
    <xdr:to>
      <xdr:col>38</xdr:col>
      <xdr:colOff>90712</xdr:colOff>
      <xdr:row>174</xdr:row>
      <xdr:rowOff>107248</xdr:rowOff>
    </xdr:to>
    <xdr:pic>
      <xdr:nvPicPr>
        <xdr:cNvPr id="3" name="Imagen 2">
          <a:extLst>
            <a:ext uri="{FF2B5EF4-FFF2-40B4-BE49-F238E27FC236}">
              <a16:creationId xmlns:a16="http://schemas.microsoft.com/office/drawing/2014/main" id="{7B96F678-CE48-4971-8D86-8C6ED5AFB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09183" y="28255081"/>
          <a:ext cx="10913079" cy="293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196</xdr:row>
      <xdr:rowOff>16631</xdr:rowOff>
    </xdr:from>
    <xdr:ext cx="10925778" cy="2993476"/>
    <xdr:pic>
      <xdr:nvPicPr>
        <xdr:cNvPr id="4" name="Imagen 3">
          <a:extLst>
            <a:ext uri="{FF2B5EF4-FFF2-40B4-BE49-F238E27FC236}">
              <a16:creationId xmlns:a16="http://schemas.microsoft.com/office/drawing/2014/main" id="{2B08DB5F-D77E-497E-B25B-F7DAABA5D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09183" y="35024181"/>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304800</xdr:colOff>
      <xdr:row>22</xdr:row>
      <xdr:rowOff>52390</xdr:rowOff>
    </xdr:to>
    <xdr:sp macro="" textlink="">
      <xdr:nvSpPr>
        <xdr:cNvPr id="2" name="AutoShape 1">
          <a:extLst>
            <a:ext uri="{FF2B5EF4-FFF2-40B4-BE49-F238E27FC236}">
              <a16:creationId xmlns:a16="http://schemas.microsoft.com/office/drawing/2014/main" id="{07409E94-505C-49F7-A2DC-EA03630D5307}"/>
            </a:ext>
          </a:extLst>
        </xdr:cNvPr>
        <xdr:cNvSpPr>
          <a:spLocks noChangeAspect="1" noChangeArrowheads="1"/>
        </xdr:cNvSpPr>
      </xdr:nvSpPr>
      <xdr:spPr bwMode="auto">
        <a:xfrm>
          <a:off x="0" y="5308600"/>
          <a:ext cx="304800" cy="2301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88AB1F32-62FC-4FA2-983B-230FF0BC3074}"/>
            </a:ext>
          </a:extLst>
        </xdr:cNvPr>
        <xdr:cNvSpPr>
          <a:spLocks noChangeAspect="1" noChangeArrowheads="1"/>
        </xdr:cNvSpPr>
      </xdr:nvSpPr>
      <xdr:spPr bwMode="auto">
        <a:xfrm>
          <a:off x="0" y="9544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52389</xdr:rowOff>
    </xdr:to>
    <xdr:sp macro="" textlink="">
      <xdr:nvSpPr>
        <xdr:cNvPr id="2" name="AutoShape 1">
          <a:extLst>
            <a:ext uri="{FF2B5EF4-FFF2-40B4-BE49-F238E27FC236}">
              <a16:creationId xmlns:a16="http://schemas.microsoft.com/office/drawing/2014/main" id="{3AE7B8FB-B1F7-405C-A338-D5AAC7F1F187}"/>
            </a:ext>
          </a:extLst>
        </xdr:cNvPr>
        <xdr:cNvSpPr>
          <a:spLocks noChangeAspect="1" noChangeArrowheads="1"/>
        </xdr:cNvSpPr>
      </xdr:nvSpPr>
      <xdr:spPr bwMode="auto">
        <a:xfrm>
          <a:off x="0" y="5880100"/>
          <a:ext cx="304800" cy="2301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59</xdr:row>
      <xdr:rowOff>0</xdr:rowOff>
    </xdr:from>
    <xdr:ext cx="304800" cy="304097"/>
    <xdr:sp macro="" textlink="">
      <xdr:nvSpPr>
        <xdr:cNvPr id="3" name="AutoShape 1">
          <a:extLst>
            <a:ext uri="{FF2B5EF4-FFF2-40B4-BE49-F238E27FC236}">
              <a16:creationId xmlns:a16="http://schemas.microsoft.com/office/drawing/2014/main" id="{27C88AC6-22E3-4C44-B10B-179C95B76F3F}"/>
            </a:ext>
          </a:extLst>
        </xdr:cNvPr>
        <xdr:cNvSpPr>
          <a:spLocks noChangeAspect="1" noChangeArrowheads="1"/>
        </xdr:cNvSpPr>
      </xdr:nvSpPr>
      <xdr:spPr bwMode="auto">
        <a:xfrm>
          <a:off x="0" y="16459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232306"/>
    <xdr:sp macro="" textlink="">
      <xdr:nvSpPr>
        <xdr:cNvPr id="4" name="AutoShape 1">
          <a:extLst>
            <a:ext uri="{FF2B5EF4-FFF2-40B4-BE49-F238E27FC236}">
              <a16:creationId xmlns:a16="http://schemas.microsoft.com/office/drawing/2014/main" id="{5B01FE51-4DFF-4BAA-A168-A49CBB43F271}"/>
            </a:ext>
          </a:extLst>
        </xdr:cNvPr>
        <xdr:cNvSpPr>
          <a:spLocks noChangeAspect="1" noChangeArrowheads="1"/>
        </xdr:cNvSpPr>
      </xdr:nvSpPr>
      <xdr:spPr bwMode="auto">
        <a:xfrm>
          <a:off x="0" y="14859000"/>
          <a:ext cx="304800" cy="2323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304800</xdr:colOff>
      <xdr:row>27</xdr:row>
      <xdr:rowOff>33341</xdr:rowOff>
    </xdr:to>
    <xdr:sp macro="" textlink="">
      <xdr:nvSpPr>
        <xdr:cNvPr id="2" name="AutoShape 1">
          <a:extLst>
            <a:ext uri="{FF2B5EF4-FFF2-40B4-BE49-F238E27FC236}">
              <a16:creationId xmlns:a16="http://schemas.microsoft.com/office/drawing/2014/main" id="{B8E50937-466B-41C3-81F2-DCF6754A1044}"/>
            </a:ext>
          </a:extLst>
        </xdr:cNvPr>
        <xdr:cNvSpPr>
          <a:spLocks noChangeAspect="1" noChangeArrowheads="1"/>
        </xdr:cNvSpPr>
      </xdr:nvSpPr>
      <xdr:spPr bwMode="auto">
        <a:xfrm>
          <a:off x="0" y="5327650"/>
          <a:ext cx="304800" cy="211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4097"/>
    <xdr:sp macro="" textlink="">
      <xdr:nvSpPr>
        <xdr:cNvPr id="3" name="AutoShape 1">
          <a:extLst>
            <a:ext uri="{FF2B5EF4-FFF2-40B4-BE49-F238E27FC236}">
              <a16:creationId xmlns:a16="http://schemas.microsoft.com/office/drawing/2014/main" id="{B189B546-33B1-450E-BA81-BF39E28C3FE9}"/>
            </a:ext>
          </a:extLst>
        </xdr:cNvPr>
        <xdr:cNvSpPr>
          <a:spLocks noChangeAspect="1" noChangeArrowheads="1"/>
        </xdr:cNvSpPr>
      </xdr:nvSpPr>
      <xdr:spPr bwMode="auto">
        <a:xfrm>
          <a:off x="0" y="9588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097"/>
    <xdr:sp macro="" textlink="">
      <xdr:nvSpPr>
        <xdr:cNvPr id="4" name="AutoShape 1">
          <a:extLst>
            <a:ext uri="{FF2B5EF4-FFF2-40B4-BE49-F238E27FC236}">
              <a16:creationId xmlns:a16="http://schemas.microsoft.com/office/drawing/2014/main" id="{FFD7AE58-E879-42D0-AD39-9C00CB7A3D4D}"/>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097"/>
    <xdr:sp macro="" textlink="">
      <xdr:nvSpPr>
        <xdr:cNvPr id="5" name="AutoShape 1">
          <a:extLst>
            <a:ext uri="{FF2B5EF4-FFF2-40B4-BE49-F238E27FC236}">
              <a16:creationId xmlns:a16="http://schemas.microsoft.com/office/drawing/2014/main" id="{4EB91C7C-B5D4-4E57-8E57-4B0AF88E2A0F}"/>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097"/>
    <xdr:sp macro="" textlink="">
      <xdr:nvSpPr>
        <xdr:cNvPr id="6" name="AutoShape 1">
          <a:extLst>
            <a:ext uri="{FF2B5EF4-FFF2-40B4-BE49-F238E27FC236}">
              <a16:creationId xmlns:a16="http://schemas.microsoft.com/office/drawing/2014/main" id="{250FB0AA-352A-44C9-9855-CD37DAD3DD58}"/>
            </a:ext>
          </a:extLst>
        </xdr:cNvPr>
        <xdr:cNvSpPr>
          <a:spLocks noChangeAspect="1" noChangeArrowheads="1"/>
        </xdr:cNvSpPr>
      </xdr:nvSpPr>
      <xdr:spPr bwMode="auto">
        <a:xfrm>
          <a:off x="0" y="23641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121</xdr:row>
      <xdr:rowOff>0</xdr:rowOff>
    </xdr:from>
    <xdr:ext cx="304800" cy="304097"/>
    <xdr:sp macro="" textlink="">
      <xdr:nvSpPr>
        <xdr:cNvPr id="7" name="AutoShape 1">
          <a:extLst>
            <a:ext uri="{FF2B5EF4-FFF2-40B4-BE49-F238E27FC236}">
              <a16:creationId xmlns:a16="http://schemas.microsoft.com/office/drawing/2014/main" id="{D4ACF0D1-1143-46D4-BC55-45607220AA0F}"/>
            </a:ext>
          </a:extLst>
        </xdr:cNvPr>
        <xdr:cNvSpPr>
          <a:spLocks noChangeAspect="1" noChangeArrowheads="1"/>
        </xdr:cNvSpPr>
      </xdr:nvSpPr>
      <xdr:spPr bwMode="auto">
        <a:xfrm>
          <a:off x="0" y="31191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304800</xdr:colOff>
      <xdr:row>26</xdr:row>
      <xdr:rowOff>36515</xdr:rowOff>
    </xdr:to>
    <xdr:sp macro="" textlink="">
      <xdr:nvSpPr>
        <xdr:cNvPr id="2" name="AutoShape 1">
          <a:extLst>
            <a:ext uri="{FF2B5EF4-FFF2-40B4-BE49-F238E27FC236}">
              <a16:creationId xmlns:a16="http://schemas.microsoft.com/office/drawing/2014/main" id="{888A93CC-0E86-4660-9B57-1CA3CCD255AA}"/>
            </a:ext>
          </a:extLst>
        </xdr:cNvPr>
        <xdr:cNvSpPr>
          <a:spLocks noChangeAspect="1" noChangeArrowheads="1"/>
        </xdr:cNvSpPr>
      </xdr:nvSpPr>
      <xdr:spPr bwMode="auto">
        <a:xfrm>
          <a:off x="0" y="600075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4097"/>
    <xdr:sp macro="" textlink="">
      <xdr:nvSpPr>
        <xdr:cNvPr id="3" name="AutoShape 1">
          <a:extLst>
            <a:ext uri="{FF2B5EF4-FFF2-40B4-BE49-F238E27FC236}">
              <a16:creationId xmlns:a16="http://schemas.microsoft.com/office/drawing/2014/main" id="{1FE39561-62B7-4A9A-85C2-27B0F2EC6DCE}"/>
            </a:ext>
          </a:extLst>
        </xdr:cNvPr>
        <xdr:cNvSpPr>
          <a:spLocks noChangeAspect="1" noChangeArrowheads="1"/>
        </xdr:cNvSpPr>
      </xdr:nvSpPr>
      <xdr:spPr bwMode="auto">
        <a:xfrm>
          <a:off x="0" y="868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304800</xdr:colOff>
      <xdr:row>26</xdr:row>
      <xdr:rowOff>52390</xdr:rowOff>
    </xdr:to>
    <xdr:sp macro="" textlink="">
      <xdr:nvSpPr>
        <xdr:cNvPr id="2" name="AutoShape 1">
          <a:extLst>
            <a:ext uri="{FF2B5EF4-FFF2-40B4-BE49-F238E27FC236}">
              <a16:creationId xmlns:a16="http://schemas.microsoft.com/office/drawing/2014/main" id="{024DFBC0-E3EE-4937-B37D-73EA789DEAF6}"/>
            </a:ext>
          </a:extLst>
        </xdr:cNvPr>
        <xdr:cNvSpPr>
          <a:spLocks noChangeAspect="1" noChangeArrowheads="1"/>
        </xdr:cNvSpPr>
      </xdr:nvSpPr>
      <xdr:spPr bwMode="auto">
        <a:xfrm>
          <a:off x="0" y="537210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22E6772B-A49A-41B8-A0D8-03AAD4D7BF5B}"/>
            </a:ext>
          </a:extLst>
        </xdr:cNvPr>
        <xdr:cNvSpPr>
          <a:spLocks noChangeAspect="1" noChangeArrowheads="1"/>
        </xdr:cNvSpPr>
      </xdr:nvSpPr>
      <xdr:spPr bwMode="auto">
        <a:xfrm>
          <a:off x="0" y="114173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304800</xdr:colOff>
      <xdr:row>27</xdr:row>
      <xdr:rowOff>55564</xdr:rowOff>
    </xdr:to>
    <xdr:sp macro="" textlink="">
      <xdr:nvSpPr>
        <xdr:cNvPr id="2" name="AutoShape 1">
          <a:extLst>
            <a:ext uri="{FF2B5EF4-FFF2-40B4-BE49-F238E27FC236}">
              <a16:creationId xmlns:a16="http://schemas.microsoft.com/office/drawing/2014/main" id="{0D530E41-675B-46D3-9F43-012B9485BD35}"/>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42</xdr:row>
      <xdr:rowOff>0</xdr:rowOff>
    </xdr:from>
    <xdr:ext cx="304800" cy="304097"/>
    <xdr:sp macro="" textlink="">
      <xdr:nvSpPr>
        <xdr:cNvPr id="3" name="AutoShape 1">
          <a:extLst>
            <a:ext uri="{FF2B5EF4-FFF2-40B4-BE49-F238E27FC236}">
              <a16:creationId xmlns:a16="http://schemas.microsoft.com/office/drawing/2014/main" id="{C05CEE11-F5AE-4BFB-B275-E463844DD3C3}"/>
            </a:ext>
          </a:extLst>
        </xdr:cNvPr>
        <xdr:cNvSpPr>
          <a:spLocks noChangeAspect="1" noChangeArrowheads="1"/>
        </xdr:cNvSpPr>
      </xdr:nvSpPr>
      <xdr:spPr bwMode="auto">
        <a:xfrm>
          <a:off x="0" y="11379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097"/>
    <xdr:sp macro="" textlink="">
      <xdr:nvSpPr>
        <xdr:cNvPr id="4" name="AutoShape 1">
          <a:extLst>
            <a:ext uri="{FF2B5EF4-FFF2-40B4-BE49-F238E27FC236}">
              <a16:creationId xmlns:a16="http://schemas.microsoft.com/office/drawing/2014/main" id="{4137E07B-33CD-4255-9D01-B1802C9D73AB}"/>
            </a:ext>
          </a:extLst>
        </xdr:cNvPr>
        <xdr:cNvSpPr>
          <a:spLocks noChangeAspect="1" noChangeArrowheads="1"/>
        </xdr:cNvSpPr>
      </xdr:nvSpPr>
      <xdr:spPr bwMode="auto">
        <a:xfrm>
          <a:off x="0" y="14732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4097"/>
    <xdr:sp macro="" textlink="">
      <xdr:nvSpPr>
        <xdr:cNvPr id="5" name="AutoShape 1">
          <a:extLst>
            <a:ext uri="{FF2B5EF4-FFF2-40B4-BE49-F238E27FC236}">
              <a16:creationId xmlns:a16="http://schemas.microsoft.com/office/drawing/2014/main" id="{A2B6F9E4-7267-4CDC-ACB3-F35D9A28CD5E}"/>
            </a:ext>
          </a:extLst>
        </xdr:cNvPr>
        <xdr:cNvSpPr>
          <a:spLocks noChangeAspect="1" noChangeArrowheads="1"/>
        </xdr:cNvSpPr>
      </xdr:nvSpPr>
      <xdr:spPr bwMode="auto">
        <a:xfrm>
          <a:off x="0" y="20789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097"/>
    <xdr:sp macro="" textlink="">
      <xdr:nvSpPr>
        <xdr:cNvPr id="6" name="AutoShape 1">
          <a:extLst>
            <a:ext uri="{FF2B5EF4-FFF2-40B4-BE49-F238E27FC236}">
              <a16:creationId xmlns:a16="http://schemas.microsoft.com/office/drawing/2014/main" id="{4C2DEC4B-93B1-4F50-85D9-7240860140F1}"/>
            </a:ext>
          </a:extLst>
        </xdr:cNvPr>
        <xdr:cNvSpPr>
          <a:spLocks noChangeAspect="1" noChangeArrowheads="1"/>
        </xdr:cNvSpPr>
      </xdr:nvSpPr>
      <xdr:spPr bwMode="auto">
        <a:xfrm>
          <a:off x="0" y="290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304800</xdr:colOff>
      <xdr:row>23</xdr:row>
      <xdr:rowOff>52389</xdr:rowOff>
    </xdr:to>
    <xdr:sp macro="" textlink="">
      <xdr:nvSpPr>
        <xdr:cNvPr id="2" name="AutoShape 1">
          <a:extLst>
            <a:ext uri="{FF2B5EF4-FFF2-40B4-BE49-F238E27FC236}">
              <a16:creationId xmlns:a16="http://schemas.microsoft.com/office/drawing/2014/main" id="{EEA1D9B0-D0DD-49B6-8F73-C1E0BC3285E2}"/>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35</xdr:row>
      <xdr:rowOff>0</xdr:rowOff>
    </xdr:from>
    <xdr:ext cx="304800" cy="304097"/>
    <xdr:sp macro="" textlink="">
      <xdr:nvSpPr>
        <xdr:cNvPr id="3" name="AutoShape 1">
          <a:extLst>
            <a:ext uri="{FF2B5EF4-FFF2-40B4-BE49-F238E27FC236}">
              <a16:creationId xmlns:a16="http://schemas.microsoft.com/office/drawing/2014/main" id="{DF7C561E-B448-47EA-A160-DD944666A5AF}"/>
            </a:ext>
          </a:extLst>
        </xdr:cNvPr>
        <xdr:cNvSpPr>
          <a:spLocks noChangeAspect="1" noChangeArrowheads="1"/>
        </xdr:cNvSpPr>
      </xdr:nvSpPr>
      <xdr:spPr bwMode="auto">
        <a:xfrm>
          <a:off x="0" y="1155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36515</xdr:rowOff>
    </xdr:to>
    <xdr:sp macro="" textlink="">
      <xdr:nvSpPr>
        <xdr:cNvPr id="2" name="AutoShape 1">
          <a:extLst>
            <a:ext uri="{FF2B5EF4-FFF2-40B4-BE49-F238E27FC236}">
              <a16:creationId xmlns:a16="http://schemas.microsoft.com/office/drawing/2014/main" id="{7062CF5F-5819-4DF4-8B6F-B27A9A188642}"/>
            </a:ext>
          </a:extLst>
        </xdr:cNvPr>
        <xdr:cNvSpPr>
          <a:spLocks noChangeAspect="1" noChangeArrowheads="1"/>
        </xdr:cNvSpPr>
      </xdr:nvSpPr>
      <xdr:spPr bwMode="auto">
        <a:xfrm>
          <a:off x="0" y="698500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4097"/>
    <xdr:sp macro="" textlink="">
      <xdr:nvSpPr>
        <xdr:cNvPr id="3" name="AutoShape 1">
          <a:extLst>
            <a:ext uri="{FF2B5EF4-FFF2-40B4-BE49-F238E27FC236}">
              <a16:creationId xmlns:a16="http://schemas.microsoft.com/office/drawing/2014/main" id="{5021D7F5-C1B3-487E-9F0C-2BC447AA61CD}"/>
            </a:ext>
          </a:extLst>
        </xdr:cNvPr>
        <xdr:cNvSpPr>
          <a:spLocks noChangeAspect="1" noChangeArrowheads="1"/>
        </xdr:cNvSpPr>
      </xdr:nvSpPr>
      <xdr:spPr bwMode="auto">
        <a:xfrm>
          <a:off x="0" y="1080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304800</xdr:colOff>
      <xdr:row>34</xdr:row>
      <xdr:rowOff>52389</xdr:rowOff>
    </xdr:to>
    <xdr:sp macro="" textlink="">
      <xdr:nvSpPr>
        <xdr:cNvPr id="2" name="AutoShape 1">
          <a:extLst>
            <a:ext uri="{FF2B5EF4-FFF2-40B4-BE49-F238E27FC236}">
              <a16:creationId xmlns:a16="http://schemas.microsoft.com/office/drawing/2014/main" id="{FB1EB374-8CB8-4E42-ADC6-1E3816D11474}"/>
            </a:ext>
          </a:extLst>
        </xdr:cNvPr>
        <xdr:cNvSpPr>
          <a:spLocks noChangeAspect="1" noChangeArrowheads="1"/>
        </xdr:cNvSpPr>
      </xdr:nvSpPr>
      <xdr:spPr bwMode="auto">
        <a:xfrm>
          <a:off x="0" y="9334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40</xdr:row>
      <xdr:rowOff>0</xdr:rowOff>
    </xdr:from>
    <xdr:ext cx="304800" cy="304097"/>
    <xdr:sp macro="" textlink="">
      <xdr:nvSpPr>
        <xdr:cNvPr id="3" name="AutoShape 1">
          <a:extLst>
            <a:ext uri="{FF2B5EF4-FFF2-40B4-BE49-F238E27FC236}">
              <a16:creationId xmlns:a16="http://schemas.microsoft.com/office/drawing/2014/main" id="{42DFE397-72E9-48F2-A21E-09E3A9083E8D}"/>
            </a:ext>
          </a:extLst>
        </xdr:cNvPr>
        <xdr:cNvSpPr>
          <a:spLocks noChangeAspect="1" noChangeArrowheads="1"/>
        </xdr:cNvSpPr>
      </xdr:nvSpPr>
      <xdr:spPr bwMode="auto">
        <a:xfrm>
          <a:off x="0" y="13525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097"/>
    <xdr:sp macro="" textlink="">
      <xdr:nvSpPr>
        <xdr:cNvPr id="4" name="AutoShape 1">
          <a:extLst>
            <a:ext uri="{FF2B5EF4-FFF2-40B4-BE49-F238E27FC236}">
              <a16:creationId xmlns:a16="http://schemas.microsoft.com/office/drawing/2014/main" id="{883C5827-EA30-41D9-96F3-B7BF73FA3497}"/>
            </a:ext>
          </a:extLst>
        </xdr:cNvPr>
        <xdr:cNvSpPr>
          <a:spLocks noChangeAspect="1" noChangeArrowheads="1"/>
        </xdr:cNvSpPr>
      </xdr:nvSpPr>
      <xdr:spPr bwMode="auto">
        <a:xfrm>
          <a:off x="0" y="185329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positorio.unal.edu.co/bitstream/handle/unal/52670/29671914-Gloria.pdf?sequence=1" TargetMode="External"/><Relationship Id="rId1" Type="http://schemas.openxmlformats.org/officeDocument/2006/relationships/hyperlink" Target="https://www.dnp.gov.co/DNP/contratacion"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tabSelected="1" zoomScale="90" zoomScaleNormal="90" workbookViewId="0">
      <selection activeCell="B11" sqref="B11:C12"/>
    </sheetView>
  </sheetViews>
  <sheetFormatPr baseColWidth="10" defaultColWidth="10.85546875" defaultRowHeight="14.25" x14ac:dyDescent="0.2"/>
  <cols>
    <col min="1" max="1" width="5.85546875" style="1" customWidth="1"/>
    <col min="2" max="2" width="25.85546875" style="1" customWidth="1"/>
    <col min="3" max="3" width="103.42578125" style="1" customWidth="1"/>
    <col min="4" max="16384" width="10.85546875" style="1"/>
  </cols>
  <sheetData>
    <row r="1" spans="2:12" ht="24.75" customHeight="1" x14ac:dyDescent="0.2">
      <c r="B1" s="632"/>
      <c r="C1" s="632"/>
      <c r="E1" s="2"/>
      <c r="F1" s="2"/>
      <c r="G1" s="2"/>
      <c r="H1" s="2"/>
      <c r="I1" s="2"/>
      <c r="J1" s="2"/>
      <c r="K1" s="2"/>
      <c r="L1" s="2"/>
    </row>
    <row r="2" spans="2:12" ht="18" customHeight="1" thickBot="1" x14ac:dyDescent="0.3">
      <c r="B2" s="633" t="s">
        <v>0</v>
      </c>
      <c r="C2" s="633"/>
      <c r="D2" s="3"/>
      <c r="E2" s="2"/>
      <c r="F2" s="2"/>
      <c r="G2" s="2"/>
      <c r="H2" s="2"/>
      <c r="I2" s="2"/>
      <c r="J2" s="2"/>
      <c r="K2" s="2"/>
      <c r="L2" s="2"/>
    </row>
    <row r="3" spans="2:12" ht="13.5" customHeight="1" x14ac:dyDescent="0.2">
      <c r="B3" s="634" t="s">
        <v>441</v>
      </c>
      <c r="C3" s="635"/>
      <c r="D3" s="2"/>
      <c r="E3" s="2"/>
      <c r="F3" s="2"/>
      <c r="G3" s="2"/>
      <c r="H3" s="2"/>
      <c r="I3" s="2"/>
      <c r="J3" s="2"/>
      <c r="K3" s="2"/>
      <c r="L3" s="2"/>
    </row>
    <row r="4" spans="2:12" s="5" customFormat="1" ht="98.25" customHeight="1" thickBot="1" x14ac:dyDescent="0.25">
      <c r="B4" s="636"/>
      <c r="C4" s="637"/>
      <c r="D4" s="4"/>
      <c r="E4" s="2"/>
      <c r="F4" s="2"/>
      <c r="G4" s="2"/>
      <c r="H4" s="2"/>
      <c r="I4" s="2"/>
      <c r="J4" s="2"/>
      <c r="K4" s="2"/>
      <c r="L4" s="2"/>
    </row>
    <row r="5" spans="2:12" s="5" customFormat="1" ht="24.75" customHeight="1" thickBot="1" x14ac:dyDescent="0.25">
      <c r="B5" s="6"/>
      <c r="C5" s="6"/>
      <c r="D5" s="4"/>
      <c r="E5" s="4"/>
      <c r="F5" s="4"/>
      <c r="G5" s="4"/>
      <c r="H5" s="4"/>
      <c r="I5" s="4"/>
      <c r="J5" s="4"/>
    </row>
    <row r="6" spans="2:12" s="8" customFormat="1" ht="20.25" customHeight="1" thickBot="1" x14ac:dyDescent="0.3">
      <c r="B6" s="638" t="s">
        <v>1</v>
      </c>
      <c r="C6" s="639"/>
      <c r="D6" s="7"/>
      <c r="E6" s="7"/>
      <c r="F6" s="7"/>
      <c r="G6" s="7"/>
      <c r="H6" s="7"/>
      <c r="I6" s="7"/>
      <c r="J6" s="7"/>
    </row>
    <row r="7" spans="2:12" s="5" customFormat="1" ht="11.45" customHeight="1" x14ac:dyDescent="0.2">
      <c r="B7" s="640" t="s">
        <v>2</v>
      </c>
      <c r="C7" s="640"/>
      <c r="D7" s="4"/>
      <c r="E7" s="4"/>
      <c r="F7" s="4"/>
      <c r="G7" s="4"/>
      <c r="H7" s="4"/>
      <c r="I7" s="4"/>
      <c r="J7" s="4"/>
    </row>
    <row r="8" spans="2:12" s="4" customFormat="1" ht="21.95" customHeight="1" x14ac:dyDescent="0.2">
      <c r="B8" s="641"/>
      <c r="C8" s="641"/>
    </row>
    <row r="9" spans="2:12" s="5" customFormat="1" ht="24.75" customHeight="1" x14ac:dyDescent="0.2">
      <c r="B9" s="6"/>
      <c r="C9" s="6"/>
      <c r="D9" s="4"/>
      <c r="E9" s="4"/>
      <c r="F9" s="4"/>
      <c r="G9" s="4"/>
      <c r="H9" s="4"/>
      <c r="I9" s="4"/>
      <c r="J9" s="4"/>
    </row>
    <row r="10" spans="2:12" s="8" customFormat="1" ht="15" x14ac:dyDescent="0.25">
      <c r="B10" s="631" t="s">
        <v>3</v>
      </c>
      <c r="C10" s="631"/>
      <c r="D10" s="7"/>
      <c r="E10" s="7"/>
      <c r="F10" s="7"/>
      <c r="G10" s="7"/>
      <c r="H10" s="7"/>
      <c r="I10" s="7"/>
      <c r="J10" s="7"/>
    </row>
    <row r="11" spans="2:12" s="5" customFormat="1" ht="11.45" customHeight="1" x14ac:dyDescent="0.2">
      <c r="B11" s="641" t="s">
        <v>4</v>
      </c>
      <c r="C11" s="641"/>
      <c r="D11" s="4"/>
      <c r="E11" s="4"/>
      <c r="F11" s="4"/>
      <c r="G11" s="4"/>
      <c r="H11" s="4"/>
      <c r="I11" s="4"/>
      <c r="J11" s="4"/>
    </row>
    <row r="12" spans="2:12" s="4" customFormat="1" ht="35.25" customHeight="1" x14ac:dyDescent="0.2">
      <c r="B12" s="641"/>
      <c r="C12" s="641"/>
    </row>
    <row r="13" spans="2:12" s="5" customFormat="1" ht="24.75" customHeight="1" x14ac:dyDescent="0.2">
      <c r="B13" s="6"/>
      <c r="C13" s="6"/>
      <c r="D13" s="4"/>
      <c r="E13" s="4"/>
      <c r="F13" s="4"/>
      <c r="G13" s="4"/>
      <c r="H13" s="4"/>
      <c r="I13" s="4"/>
      <c r="J13" s="4"/>
    </row>
    <row r="14" spans="2:12" s="8" customFormat="1" ht="15" x14ac:dyDescent="0.25">
      <c r="B14" s="631" t="s">
        <v>5</v>
      </c>
      <c r="C14" s="631"/>
      <c r="D14" s="7"/>
      <c r="E14" s="7"/>
      <c r="F14" s="7"/>
      <c r="G14" s="7"/>
      <c r="H14" s="7"/>
      <c r="I14" s="7"/>
      <c r="J14" s="7"/>
    </row>
    <row r="15" spans="2:12" s="5" customFormat="1" ht="24.75" customHeight="1" x14ac:dyDescent="0.2">
      <c r="B15" s="644" t="s">
        <v>6</v>
      </c>
      <c r="C15" s="645"/>
      <c r="D15" s="4"/>
      <c r="E15" s="4"/>
      <c r="F15" s="4"/>
      <c r="G15" s="4"/>
      <c r="H15" s="4"/>
      <c r="I15" s="4"/>
      <c r="J15" s="4"/>
    </row>
    <row r="16" spans="2:12" s="5" customFormat="1" ht="12.75" customHeight="1" x14ac:dyDescent="0.2">
      <c r="D16" s="4"/>
      <c r="E16" s="4"/>
      <c r="F16" s="4"/>
      <c r="G16" s="4"/>
      <c r="H16" s="4"/>
      <c r="I16" s="4"/>
      <c r="J16" s="4"/>
    </row>
    <row r="17" spans="2:10" s="8" customFormat="1" ht="15" x14ac:dyDescent="0.25">
      <c r="B17" s="631" t="s">
        <v>7</v>
      </c>
      <c r="C17" s="631"/>
      <c r="D17" s="7"/>
      <c r="E17" s="7"/>
      <c r="F17" s="7"/>
      <c r="G17" s="7"/>
      <c r="H17" s="7"/>
      <c r="I17" s="7"/>
      <c r="J17" s="7"/>
    </row>
    <row r="18" spans="2:10" s="5" customFormat="1" ht="60.95" customHeight="1" x14ac:dyDescent="0.2">
      <c r="B18" s="641" t="s">
        <v>8</v>
      </c>
      <c r="C18" s="641"/>
      <c r="D18" s="4"/>
      <c r="E18" s="4"/>
      <c r="F18" s="4"/>
      <c r="G18" s="4"/>
      <c r="H18" s="4"/>
      <c r="I18" s="4"/>
      <c r="J18" s="4"/>
    </row>
    <row r="19" spans="2:10" s="5" customFormat="1" ht="12.75" customHeight="1" x14ac:dyDescent="0.2">
      <c r="D19" s="4"/>
      <c r="E19" s="4"/>
      <c r="F19" s="4"/>
      <c r="G19" s="4"/>
      <c r="H19" s="4"/>
      <c r="I19" s="4"/>
      <c r="J19" s="4"/>
    </row>
    <row r="20" spans="2:10" s="5" customFormat="1" ht="21.75" customHeight="1" x14ac:dyDescent="0.2">
      <c r="B20" s="6"/>
      <c r="C20" s="6"/>
      <c r="D20" s="4"/>
      <c r="E20" s="4"/>
      <c r="F20" s="4"/>
      <c r="G20" s="4"/>
      <c r="H20" s="4"/>
      <c r="I20" s="4"/>
      <c r="J20" s="4"/>
    </row>
    <row r="21" spans="2:10" s="5" customFormat="1" ht="15" x14ac:dyDescent="0.2">
      <c r="B21" s="631" t="s">
        <v>9</v>
      </c>
      <c r="C21" s="631"/>
      <c r="D21" s="4"/>
      <c r="E21" s="4"/>
      <c r="F21" s="4"/>
      <c r="G21" s="4"/>
      <c r="H21" s="4"/>
      <c r="I21" s="4"/>
      <c r="J21" s="4"/>
    </row>
    <row r="22" spans="2:10" s="5" customFormat="1" ht="68.25" customHeight="1" x14ac:dyDescent="0.2">
      <c r="B22" s="641" t="s">
        <v>63</v>
      </c>
      <c r="C22" s="641"/>
      <c r="D22" s="4"/>
      <c r="E22" s="4"/>
      <c r="F22" s="4"/>
      <c r="G22" s="4"/>
      <c r="H22" s="4"/>
      <c r="I22" s="4"/>
      <c r="J22" s="4"/>
    </row>
    <row r="23" spans="2:10" s="5" customFormat="1" ht="30.95" customHeight="1" x14ac:dyDescent="0.2">
      <c r="B23" s="9"/>
      <c r="C23" s="9"/>
      <c r="D23" s="4"/>
      <c r="E23" s="4"/>
      <c r="F23" s="4"/>
      <c r="G23" s="4"/>
      <c r="H23" s="4"/>
      <c r="I23" s="4"/>
      <c r="J23" s="4"/>
    </row>
    <row r="24" spans="2:10" s="5" customFormat="1" ht="18.75" customHeight="1" x14ac:dyDescent="0.2">
      <c r="B24" s="10" t="s">
        <v>10</v>
      </c>
      <c r="C24" s="10" t="s">
        <v>11</v>
      </c>
      <c r="D24" s="4"/>
      <c r="E24" s="4"/>
      <c r="F24" s="4"/>
      <c r="G24" s="4"/>
      <c r="H24" s="4"/>
      <c r="I24" s="4"/>
      <c r="J24" s="4"/>
    </row>
    <row r="25" spans="2:10" s="5" customFormat="1" ht="45" x14ac:dyDescent="0.2">
      <c r="B25" s="11" t="s">
        <v>12</v>
      </c>
      <c r="C25" s="12" t="s">
        <v>13</v>
      </c>
      <c r="D25" s="4"/>
      <c r="E25" s="4"/>
      <c r="F25" s="4"/>
      <c r="G25" s="4"/>
      <c r="H25" s="4"/>
      <c r="I25" s="4"/>
      <c r="J25" s="4"/>
    </row>
    <row r="26" spans="2:10" s="5" customFormat="1" ht="95.45" customHeight="1" x14ac:dyDescent="0.2">
      <c r="B26" s="13" t="s">
        <v>14</v>
      </c>
      <c r="C26" s="14" t="s">
        <v>64</v>
      </c>
      <c r="D26" s="4"/>
      <c r="E26" s="4"/>
      <c r="F26" s="4"/>
      <c r="G26" s="4"/>
      <c r="H26" s="4"/>
      <c r="I26" s="4"/>
      <c r="J26" s="4"/>
    </row>
    <row r="27" spans="2:10" s="5" customFormat="1" ht="42" customHeight="1" x14ac:dyDescent="0.2">
      <c r="B27" s="10" t="s">
        <v>15</v>
      </c>
      <c r="C27" s="14" t="s">
        <v>65</v>
      </c>
      <c r="D27" s="4"/>
      <c r="E27" s="4"/>
      <c r="F27" s="4"/>
      <c r="G27" s="4"/>
      <c r="H27" s="4"/>
      <c r="I27" s="4"/>
      <c r="J27" s="4"/>
    </row>
    <row r="28" spans="2:10" s="5" customFormat="1" ht="48" customHeight="1" x14ac:dyDescent="0.2">
      <c r="B28" s="10" t="s">
        <v>16</v>
      </c>
      <c r="C28" s="14" t="s">
        <v>17</v>
      </c>
      <c r="D28" s="4"/>
      <c r="E28" s="4"/>
      <c r="F28" s="4"/>
      <c r="G28" s="4"/>
      <c r="H28" s="4"/>
      <c r="I28" s="4"/>
      <c r="J28" s="4"/>
    </row>
    <row r="29" spans="2:10" s="5" customFormat="1" ht="27.75" customHeight="1" x14ac:dyDescent="0.2">
      <c r="B29" s="6"/>
      <c r="C29" s="6"/>
      <c r="D29" s="4"/>
      <c r="E29" s="4"/>
      <c r="F29" s="4"/>
      <c r="G29" s="4"/>
      <c r="H29" s="4"/>
      <c r="I29" s="4"/>
      <c r="J29" s="4"/>
    </row>
    <row r="30" spans="2:10" s="15" customFormat="1" ht="29.25" customHeight="1" x14ac:dyDescent="0.25">
      <c r="B30" s="646" t="s">
        <v>18</v>
      </c>
      <c r="C30" s="647"/>
    </row>
    <row r="31" spans="2:10" s="5" customFormat="1" ht="48.75" customHeight="1" x14ac:dyDescent="0.2">
      <c r="B31" s="641" t="s">
        <v>19</v>
      </c>
      <c r="C31" s="641"/>
      <c r="D31" s="4"/>
      <c r="E31" s="4"/>
      <c r="F31" s="4"/>
      <c r="G31" s="4"/>
      <c r="H31" s="4"/>
      <c r="I31" s="4"/>
      <c r="J31" s="4"/>
    </row>
    <row r="32" spans="2:10" ht="15" x14ac:dyDescent="0.25">
      <c r="B32" s="16" t="s">
        <v>10</v>
      </c>
      <c r="C32" s="16" t="s">
        <v>11</v>
      </c>
    </row>
    <row r="33" spans="2:10" ht="45" x14ac:dyDescent="0.2">
      <c r="B33" s="17" t="s">
        <v>20</v>
      </c>
      <c r="C33" s="18" t="s">
        <v>66</v>
      </c>
      <c r="D33" s="2"/>
      <c r="E33" s="2"/>
      <c r="F33" s="2"/>
      <c r="G33" s="2"/>
      <c r="H33" s="2"/>
      <c r="I33" s="2"/>
      <c r="J33" s="2"/>
    </row>
    <row r="34" spans="2:10" ht="30" x14ac:dyDescent="0.2">
      <c r="B34" s="13" t="s">
        <v>21</v>
      </c>
      <c r="C34" s="18" t="s">
        <v>22</v>
      </c>
      <c r="D34" s="2"/>
      <c r="E34" s="2"/>
      <c r="F34" s="2"/>
      <c r="G34" s="2"/>
      <c r="H34" s="2"/>
      <c r="I34" s="2"/>
      <c r="J34" s="2"/>
    </row>
    <row r="35" spans="2:10" ht="75.95" customHeight="1" x14ac:dyDescent="0.2">
      <c r="B35" s="13" t="s">
        <v>23</v>
      </c>
      <c r="C35" s="14" t="s">
        <v>67</v>
      </c>
    </row>
    <row r="36" spans="2:10" ht="72" customHeight="1" x14ac:dyDescent="0.2">
      <c r="B36" s="13" t="s">
        <v>24</v>
      </c>
      <c r="C36" s="14" t="s">
        <v>68</v>
      </c>
    </row>
    <row r="37" spans="2:10" ht="73.5" customHeight="1" x14ac:dyDescent="0.2">
      <c r="B37" s="13" t="s">
        <v>25</v>
      </c>
      <c r="C37" s="14" t="s">
        <v>69</v>
      </c>
    </row>
    <row r="38" spans="2:10" ht="42" customHeight="1" x14ac:dyDescent="0.2">
      <c r="B38" s="10" t="s">
        <v>26</v>
      </c>
      <c r="C38" s="18" t="s">
        <v>27</v>
      </c>
    </row>
    <row r="39" spans="2:10" ht="25.5" customHeight="1" x14ac:dyDescent="0.2">
      <c r="B39" s="648"/>
      <c r="C39" s="648"/>
    </row>
    <row r="40" spans="2:10" ht="30" customHeight="1" x14ac:dyDescent="0.2">
      <c r="B40" s="631" t="s">
        <v>70</v>
      </c>
      <c r="C40" s="631"/>
    </row>
    <row r="41" spans="2:10" ht="35.25" customHeight="1" x14ac:dyDescent="0.2">
      <c r="B41" s="642" t="s">
        <v>71</v>
      </c>
      <c r="C41" s="643"/>
    </row>
    <row r="42" spans="2:10" ht="13.5" customHeight="1" x14ac:dyDescent="0.2">
      <c r="B42" s="10" t="s">
        <v>10</v>
      </c>
      <c r="C42" s="10" t="s">
        <v>11</v>
      </c>
    </row>
    <row r="43" spans="2:10" ht="45" customHeight="1" x14ac:dyDescent="0.2">
      <c r="B43" s="19" t="s">
        <v>28</v>
      </c>
      <c r="C43" s="20" t="s">
        <v>72</v>
      </c>
    </row>
    <row r="44" spans="2:10" ht="32.25" customHeight="1" x14ac:dyDescent="0.2">
      <c r="B44" s="19" t="s">
        <v>29</v>
      </c>
      <c r="C44" s="20" t="s">
        <v>73</v>
      </c>
    </row>
    <row r="45" spans="2:10" ht="20.25" customHeight="1" x14ac:dyDescent="0.2">
      <c r="B45" s="21" t="s">
        <v>30</v>
      </c>
      <c r="C45" s="22" t="s">
        <v>31</v>
      </c>
    </row>
    <row r="46" spans="2:10" ht="58.5" customHeight="1" x14ac:dyDescent="0.2">
      <c r="B46" s="23" t="s">
        <v>32</v>
      </c>
      <c r="C46" s="22" t="s">
        <v>74</v>
      </c>
    </row>
    <row r="47" spans="2:10" ht="36.75" customHeight="1" x14ac:dyDescent="0.2">
      <c r="B47" s="23" t="s">
        <v>33</v>
      </c>
      <c r="C47" s="22" t="s">
        <v>34</v>
      </c>
    </row>
    <row r="48" spans="2:10" ht="96" customHeight="1" x14ac:dyDescent="0.2">
      <c r="B48" s="21" t="s">
        <v>35</v>
      </c>
      <c r="C48" s="24" t="s">
        <v>36</v>
      </c>
    </row>
  </sheetData>
  <sheetProtection algorithmName="SHA-512" hashValue="6SiCKi1P2vx/hwSX9N4yrz0AMgx2GjBgxkBt27KZmZ8wgPra/tJzppwy6+jtHlb6oVtkbWQ/k3Z7j/oX4r7Dtg==" saltValue="z5cNKrkk6hSZewkFeq1xQA==" spinCount="100000" sheet="1" objects="1" scenarios="1"/>
  <mergeCells count="18">
    <mergeCell ref="B41:C41"/>
    <mergeCell ref="B11:C12"/>
    <mergeCell ref="B14:C14"/>
    <mergeCell ref="B15:C15"/>
    <mergeCell ref="B17:C17"/>
    <mergeCell ref="B18:C18"/>
    <mergeCell ref="B21:C21"/>
    <mergeCell ref="B22:C22"/>
    <mergeCell ref="B30:C30"/>
    <mergeCell ref="B31:C31"/>
    <mergeCell ref="B39:C39"/>
    <mergeCell ref="B40:C40"/>
    <mergeCell ref="B10:C10"/>
    <mergeCell ref="B1:C1"/>
    <mergeCell ref="B2:C2"/>
    <mergeCell ref="B3:C4"/>
    <mergeCell ref="B6:C6"/>
    <mergeCell ref="B7: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80" zoomScaleNormal="80" workbookViewId="0">
      <selection activeCell="E8" sqref="E8:O8"/>
    </sheetView>
  </sheetViews>
  <sheetFormatPr baseColWidth="10" defaultColWidth="10.85546875" defaultRowHeight="14.25" x14ac:dyDescent="0.2"/>
  <cols>
    <col min="1" max="1" width="0.85546875" style="25" customWidth="1"/>
    <col min="2" max="2" width="23" style="25" customWidth="1"/>
    <col min="3" max="3" width="18.42578125" style="25" customWidth="1"/>
    <col min="4" max="4" width="12.42578125" style="25" customWidth="1"/>
    <col min="5" max="5" width="11.28515625" style="25" customWidth="1"/>
    <col min="6" max="6" width="13.7109375" style="25" customWidth="1"/>
    <col min="7" max="8" width="13.140625" style="25" customWidth="1"/>
    <col min="9" max="9" width="12.28515625" style="25" customWidth="1"/>
    <col min="10" max="14" width="8.28515625" style="25" customWidth="1"/>
    <col min="15" max="15" width="12.140625" style="25" customWidth="1"/>
    <col min="16" max="16" width="16.42578125" style="25" customWidth="1"/>
    <col min="17" max="17" width="19.140625" style="25" customWidth="1"/>
    <col min="18" max="18" width="3" style="26" customWidth="1"/>
    <col min="19" max="19" width="5.42578125" style="26" bestFit="1" customWidth="1"/>
    <col min="20" max="22" width="2.85546875" style="26" customWidth="1"/>
    <col min="23" max="26" width="11.140625" style="26" bestFit="1" customWidth="1"/>
    <col min="27" max="16384" width="10.85546875" style="26"/>
  </cols>
  <sheetData>
    <row r="1" spans="1:26" ht="15" customHeight="1" x14ac:dyDescent="0.2">
      <c r="B1" s="653"/>
      <c r="C1" s="654"/>
      <c r="D1" s="654"/>
      <c r="E1" s="659" t="s">
        <v>37</v>
      </c>
      <c r="F1" s="660"/>
      <c r="G1" s="660"/>
      <c r="H1" s="660"/>
      <c r="I1" s="660"/>
      <c r="J1" s="660"/>
      <c r="K1" s="660"/>
      <c r="L1" s="660"/>
      <c r="M1" s="660"/>
      <c r="N1" s="660"/>
      <c r="O1" s="660"/>
      <c r="P1" s="661"/>
      <c r="Q1" s="662"/>
    </row>
    <row r="2" spans="1:26" x14ac:dyDescent="0.2">
      <c r="B2" s="655"/>
      <c r="C2" s="656"/>
      <c r="D2" s="656"/>
      <c r="E2" s="660"/>
      <c r="F2" s="660"/>
      <c r="G2" s="660"/>
      <c r="H2" s="660"/>
      <c r="I2" s="660"/>
      <c r="J2" s="660"/>
      <c r="K2" s="660"/>
      <c r="L2" s="660"/>
      <c r="M2" s="660"/>
      <c r="N2" s="660"/>
      <c r="O2" s="660"/>
      <c r="P2" s="661"/>
      <c r="Q2" s="662"/>
    </row>
    <row r="3" spans="1:26" ht="28.5" customHeight="1" x14ac:dyDescent="0.2">
      <c r="B3" s="657"/>
      <c r="C3" s="658"/>
      <c r="D3" s="658"/>
      <c r="E3" s="660"/>
      <c r="F3" s="660"/>
      <c r="G3" s="660"/>
      <c r="H3" s="660"/>
      <c r="I3" s="660"/>
      <c r="J3" s="660"/>
      <c r="K3" s="660"/>
      <c r="L3" s="660"/>
      <c r="M3" s="660"/>
      <c r="N3" s="660"/>
      <c r="O3" s="660"/>
      <c r="P3" s="661"/>
      <c r="Q3" s="662"/>
    </row>
    <row r="4" spans="1:26" ht="28.5" customHeight="1" x14ac:dyDescent="0.2">
      <c r="B4" s="27"/>
      <c r="C4" s="27"/>
      <c r="D4" s="27"/>
      <c r="E4" s="28"/>
      <c r="F4" s="28"/>
      <c r="G4" s="28"/>
      <c r="H4" s="28"/>
      <c r="I4" s="28"/>
      <c r="J4" s="28"/>
      <c r="K4" s="28"/>
      <c r="L4" s="28"/>
      <c r="M4" s="28"/>
      <c r="N4" s="28"/>
      <c r="O4" s="28"/>
      <c r="P4" s="27"/>
      <c r="Q4" s="27"/>
    </row>
    <row r="5" spans="1:26" ht="50.25" customHeight="1" x14ac:dyDescent="0.2">
      <c r="B5" s="649" t="s">
        <v>1</v>
      </c>
      <c r="C5" s="650"/>
      <c r="D5" s="650"/>
      <c r="E5" s="651" t="s">
        <v>38</v>
      </c>
      <c r="F5" s="652"/>
      <c r="G5" s="652"/>
      <c r="H5" s="652"/>
      <c r="I5" s="652"/>
      <c r="J5" s="652"/>
      <c r="K5" s="652"/>
      <c r="L5" s="652"/>
      <c r="M5" s="652"/>
      <c r="N5" s="652"/>
      <c r="O5" s="652"/>
      <c r="P5" s="27"/>
      <c r="Q5" s="27"/>
    </row>
    <row r="6" spans="1:26" ht="69" customHeight="1" x14ac:dyDescent="0.2">
      <c r="B6" s="649" t="s">
        <v>39</v>
      </c>
      <c r="C6" s="650"/>
      <c r="D6" s="650"/>
      <c r="E6" s="651" t="s">
        <v>40</v>
      </c>
      <c r="F6" s="652"/>
      <c r="G6" s="652"/>
      <c r="H6" s="652"/>
      <c r="I6" s="652"/>
      <c r="J6" s="652"/>
      <c r="K6" s="652"/>
      <c r="L6" s="652"/>
      <c r="M6" s="652"/>
      <c r="N6" s="652"/>
      <c r="O6" s="652"/>
      <c r="P6" s="27"/>
      <c r="Q6" s="27"/>
    </row>
    <row r="7" spans="1:26" ht="78.75" customHeight="1" x14ac:dyDescent="0.2">
      <c r="B7" s="649" t="s">
        <v>41</v>
      </c>
      <c r="C7" s="650"/>
      <c r="D7" s="650"/>
      <c r="E7" s="651" t="s">
        <v>42</v>
      </c>
      <c r="F7" s="652"/>
      <c r="G7" s="652"/>
      <c r="H7" s="652"/>
      <c r="I7" s="652"/>
      <c r="J7" s="652"/>
      <c r="K7" s="652"/>
      <c r="L7" s="652"/>
      <c r="M7" s="652"/>
      <c r="N7" s="652"/>
      <c r="O7" s="652"/>
      <c r="P7" s="27"/>
      <c r="Q7" s="27"/>
    </row>
    <row r="8" spans="1:26" ht="87" customHeight="1" x14ac:dyDescent="0.2">
      <c r="B8" s="649" t="s">
        <v>43</v>
      </c>
      <c r="C8" s="650"/>
      <c r="D8" s="650"/>
      <c r="E8" s="651" t="s">
        <v>442</v>
      </c>
      <c r="F8" s="652"/>
      <c r="G8" s="652"/>
      <c r="H8" s="652"/>
      <c r="I8" s="652"/>
      <c r="J8" s="652"/>
      <c r="K8" s="652"/>
      <c r="L8" s="652"/>
      <c r="M8" s="652"/>
      <c r="N8" s="652"/>
      <c r="O8" s="652"/>
      <c r="P8" s="27"/>
      <c r="Q8" s="27"/>
    </row>
    <row r="9" spans="1:26" ht="219.95" customHeight="1" x14ac:dyDescent="0.2">
      <c r="B9" s="649" t="s">
        <v>44</v>
      </c>
      <c r="C9" s="650"/>
      <c r="D9" s="650"/>
      <c r="E9" s="651" t="s">
        <v>45</v>
      </c>
      <c r="F9" s="652"/>
      <c r="G9" s="652"/>
      <c r="H9" s="652"/>
      <c r="I9" s="652"/>
      <c r="J9" s="652"/>
      <c r="K9" s="652"/>
      <c r="L9" s="652"/>
      <c r="M9" s="652"/>
      <c r="N9" s="652"/>
      <c r="O9" s="652"/>
      <c r="P9" s="27"/>
      <c r="Q9" s="27"/>
    </row>
    <row r="10" spans="1:26" s="1" customFormat="1" ht="124.5" customHeight="1" x14ac:dyDescent="0.2">
      <c r="A10" s="29"/>
      <c r="B10" s="649" t="s">
        <v>46</v>
      </c>
      <c r="C10" s="650"/>
      <c r="D10" s="650"/>
      <c r="E10" s="673" t="s">
        <v>47</v>
      </c>
      <c r="F10" s="674"/>
      <c r="G10" s="674"/>
      <c r="H10" s="674"/>
      <c r="I10" s="674"/>
      <c r="J10" s="674"/>
      <c r="K10" s="674"/>
      <c r="L10" s="674"/>
      <c r="M10" s="674"/>
      <c r="N10" s="674"/>
      <c r="O10" s="674"/>
      <c r="P10" s="30"/>
      <c r="Q10" s="30"/>
    </row>
    <row r="11" spans="1:26" ht="39.75" customHeight="1" x14ac:dyDescent="0.2">
      <c r="B11" s="27"/>
      <c r="C11" s="27"/>
      <c r="D11" s="27"/>
      <c r="E11" s="31"/>
      <c r="F11" s="31"/>
      <c r="G11" s="31"/>
      <c r="H11" s="31"/>
      <c r="I11" s="31"/>
      <c r="J11" s="31"/>
      <c r="K11" s="31"/>
      <c r="L11" s="31"/>
      <c r="M11" s="31"/>
      <c r="N11" s="31"/>
      <c r="O11" s="31"/>
      <c r="P11" s="27"/>
      <c r="Q11" s="27"/>
    </row>
    <row r="12" spans="1:26" ht="20.25" customHeight="1" x14ac:dyDescent="0.25">
      <c r="B12" s="675" t="s">
        <v>48</v>
      </c>
      <c r="C12" s="676"/>
      <c r="D12" s="676"/>
      <c r="E12" s="676"/>
      <c r="F12" s="676"/>
      <c r="G12" s="676"/>
      <c r="H12" s="676"/>
      <c r="I12" s="676"/>
      <c r="J12" s="676"/>
      <c r="K12" s="676"/>
      <c r="L12" s="676"/>
      <c r="M12" s="676"/>
      <c r="N12" s="676"/>
      <c r="O12" s="676"/>
      <c r="P12" s="27"/>
      <c r="Q12" s="27"/>
    </row>
    <row r="14" spans="1:26" ht="48" customHeight="1" x14ac:dyDescent="0.2">
      <c r="B14" s="677" t="s">
        <v>49</v>
      </c>
      <c r="C14" s="678"/>
      <c r="D14" s="678"/>
      <c r="E14" s="679" t="s">
        <v>75</v>
      </c>
      <c r="F14" s="680"/>
      <c r="G14" s="680"/>
      <c r="H14" s="680"/>
      <c r="I14" s="680"/>
      <c r="J14" s="680"/>
      <c r="K14" s="680"/>
      <c r="L14" s="680"/>
      <c r="M14" s="680"/>
      <c r="N14" s="680"/>
      <c r="O14" s="681"/>
      <c r="P14" s="26"/>
      <c r="Q14" s="26"/>
    </row>
    <row r="15" spans="1:26" ht="26.25" customHeight="1" x14ac:dyDescent="0.2">
      <c r="B15" s="663" t="s">
        <v>50</v>
      </c>
      <c r="C15" s="664"/>
      <c r="D15" s="664"/>
      <c r="E15" s="682" t="s">
        <v>51</v>
      </c>
      <c r="F15" s="683"/>
      <c r="G15" s="683"/>
      <c r="H15" s="683"/>
      <c r="I15" s="683"/>
      <c r="J15" s="683"/>
      <c r="K15" s="683"/>
      <c r="L15" s="683"/>
      <c r="M15" s="683"/>
      <c r="N15" s="683"/>
      <c r="O15" s="643"/>
      <c r="P15" s="26"/>
      <c r="Q15" s="26"/>
    </row>
    <row r="16" spans="1:26" ht="136.5" customHeight="1" x14ac:dyDescent="0.2">
      <c r="A16" s="29"/>
      <c r="B16" s="663" t="s">
        <v>52</v>
      </c>
      <c r="C16" s="664"/>
      <c r="D16" s="664"/>
      <c r="E16" s="665" t="s">
        <v>53</v>
      </c>
      <c r="F16" s="666"/>
      <c r="G16" s="666"/>
      <c r="H16" s="666"/>
      <c r="I16" s="666"/>
      <c r="J16" s="666"/>
      <c r="K16" s="666"/>
      <c r="L16" s="666"/>
      <c r="M16" s="666"/>
      <c r="N16" s="666"/>
      <c r="O16" s="667"/>
      <c r="P16" s="26"/>
      <c r="Q16" s="26"/>
      <c r="Y16" s="32"/>
      <c r="Z16" s="32"/>
    </row>
    <row r="17" spans="1:17" x14ac:dyDescent="0.2">
      <c r="A17" s="29"/>
      <c r="B17" s="668" t="s">
        <v>54</v>
      </c>
      <c r="C17" s="669"/>
      <c r="D17" s="669"/>
      <c r="E17" s="669"/>
      <c r="F17" s="669"/>
      <c r="G17" s="669"/>
      <c r="H17" s="669"/>
      <c r="I17" s="669"/>
      <c r="J17" s="669"/>
      <c r="K17" s="669"/>
      <c r="L17" s="669"/>
      <c r="M17" s="669"/>
      <c r="N17" s="669"/>
      <c r="O17" s="670"/>
      <c r="P17" s="26"/>
      <c r="Q17" s="26"/>
    </row>
    <row r="18" spans="1:17" x14ac:dyDescent="0.2">
      <c r="A18" s="29"/>
      <c r="B18" s="33"/>
      <c r="G18" s="34"/>
      <c r="H18" s="34"/>
      <c r="I18" s="34"/>
      <c r="J18" s="34"/>
      <c r="K18" s="34"/>
      <c r="L18" s="34"/>
      <c r="M18" s="34"/>
      <c r="N18" s="34"/>
      <c r="O18" s="32"/>
      <c r="P18" s="26"/>
      <c r="Q18" s="26"/>
    </row>
    <row r="19" spans="1:17" x14ac:dyDescent="0.2">
      <c r="A19" s="29"/>
      <c r="B19" s="671"/>
      <c r="C19" s="672"/>
      <c r="D19" s="672"/>
      <c r="E19" s="672"/>
      <c r="F19" s="672"/>
      <c r="G19" s="672"/>
      <c r="H19" s="672"/>
      <c r="I19" s="672"/>
      <c r="J19" s="672"/>
      <c r="K19" s="672"/>
      <c r="L19" s="672"/>
      <c r="M19" s="672"/>
      <c r="N19" s="672"/>
      <c r="O19" s="672"/>
      <c r="P19" s="26"/>
      <c r="Q19" s="26"/>
    </row>
    <row r="20" spans="1:17" x14ac:dyDescent="0.2">
      <c r="A20" s="29"/>
      <c r="B20" s="672"/>
      <c r="C20" s="672"/>
      <c r="D20" s="672"/>
      <c r="E20" s="672"/>
      <c r="F20" s="672"/>
      <c r="G20" s="672"/>
      <c r="H20" s="672"/>
      <c r="I20" s="672"/>
      <c r="J20" s="672"/>
      <c r="K20" s="672"/>
      <c r="L20" s="672"/>
      <c r="M20" s="672"/>
      <c r="N20" s="672"/>
      <c r="O20" s="672"/>
      <c r="P20" s="26"/>
      <c r="Q20" s="26"/>
    </row>
    <row r="21" spans="1:17" x14ac:dyDescent="0.2">
      <c r="A21" s="29"/>
      <c r="B21" s="672"/>
      <c r="C21" s="672"/>
      <c r="D21" s="672"/>
      <c r="E21" s="672"/>
      <c r="F21" s="672"/>
      <c r="G21" s="672"/>
      <c r="H21" s="672"/>
      <c r="I21" s="672"/>
      <c r="J21" s="672"/>
      <c r="K21" s="672"/>
      <c r="L21" s="672"/>
      <c r="M21" s="672"/>
      <c r="N21" s="672"/>
      <c r="O21" s="672"/>
      <c r="P21" s="26"/>
      <c r="Q21" s="26"/>
    </row>
    <row r="22" spans="1:17" x14ac:dyDescent="0.2">
      <c r="A22" s="29"/>
      <c r="B22" s="35"/>
      <c r="C22" s="35"/>
      <c r="D22" s="35"/>
      <c r="E22" s="35"/>
      <c r="F22" s="35"/>
      <c r="G22" s="35"/>
      <c r="H22" s="35"/>
      <c r="I22" s="35"/>
      <c r="J22" s="35"/>
      <c r="K22" s="35"/>
      <c r="L22" s="35"/>
      <c r="M22" s="35"/>
      <c r="N22" s="35"/>
      <c r="O22" s="35"/>
      <c r="P22" s="26"/>
      <c r="Q22" s="26"/>
    </row>
    <row r="23" spans="1:17" x14ac:dyDescent="0.2">
      <c r="A23" s="29"/>
      <c r="B23" s="36"/>
      <c r="G23" s="34"/>
      <c r="H23" s="34"/>
      <c r="I23" s="34"/>
      <c r="J23" s="34"/>
      <c r="K23" s="34"/>
      <c r="L23" s="34"/>
      <c r="M23" s="34"/>
      <c r="N23" s="34"/>
      <c r="O23" s="34"/>
      <c r="P23" s="26"/>
      <c r="Q23" s="26"/>
    </row>
  </sheetData>
  <sheetProtection algorithmName="SHA-512" hashValue="CT5eyC0jGodm0rS0u1Qyke3GkoO/b5c3KyS/a8L/JXtdl1PlVFH35IM9uRv7bO/O9G35tFtXSfVzHYseZY5dtQ==" saltValue="7vm9q9VuRgHfZzVeT7hmrg==" spinCount="100000" sheet="1" objects="1" scenarios="1"/>
  <mergeCells count="24">
    <mergeCell ref="B16:D16"/>
    <mergeCell ref="E16:O16"/>
    <mergeCell ref="B17:O17"/>
    <mergeCell ref="B19:O21"/>
    <mergeCell ref="B10:D10"/>
    <mergeCell ref="E10:O10"/>
    <mergeCell ref="B12:O12"/>
    <mergeCell ref="B14:D14"/>
    <mergeCell ref="E14:O14"/>
    <mergeCell ref="B15:D15"/>
    <mergeCell ref="E15:O15"/>
    <mergeCell ref="B7:D7"/>
    <mergeCell ref="E7:O7"/>
    <mergeCell ref="B8:D8"/>
    <mergeCell ref="E8:O8"/>
    <mergeCell ref="B9:D9"/>
    <mergeCell ref="E9:O9"/>
    <mergeCell ref="B6:D6"/>
    <mergeCell ref="E6:O6"/>
    <mergeCell ref="B1:D3"/>
    <mergeCell ref="E1:O3"/>
    <mergeCell ref="P1:Q3"/>
    <mergeCell ref="B5:D5"/>
    <mergeCell ref="E5:O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0"/>
  <sheetViews>
    <sheetView showGridLines="0" topLeftCell="A642" zoomScale="80" zoomScaleNormal="80" workbookViewId="0">
      <selection activeCell="A672" sqref="A672:XFD681"/>
    </sheetView>
  </sheetViews>
  <sheetFormatPr baseColWidth="10" defaultColWidth="11.42578125" defaultRowHeight="14.25" x14ac:dyDescent="0.2"/>
  <cols>
    <col min="1" max="1" width="11.42578125" style="102"/>
    <col min="2" max="2" width="89.42578125" style="102" customWidth="1"/>
    <col min="3" max="3" width="50.85546875" style="102" customWidth="1"/>
    <col min="4" max="4" width="38.140625" style="102" customWidth="1"/>
    <col min="5" max="5" width="27.42578125" style="102" customWidth="1"/>
    <col min="6" max="6" width="24.28515625" style="102" customWidth="1"/>
    <col min="7" max="7" width="24.140625" style="102" customWidth="1"/>
    <col min="8" max="8" width="29.28515625" style="102" customWidth="1"/>
    <col min="9" max="9" width="12.85546875" style="102" bestFit="1" customWidth="1"/>
    <col min="10" max="10" width="16.140625" style="102" customWidth="1"/>
    <col min="11" max="11" width="19.140625" style="102" customWidth="1"/>
    <col min="12" max="12" width="17.28515625" style="102" customWidth="1"/>
    <col min="13" max="13" width="15.42578125" style="102" customWidth="1"/>
    <col min="14" max="14" width="18.42578125" style="102" customWidth="1"/>
    <col min="15" max="15" width="23.85546875" style="102" customWidth="1"/>
    <col min="16" max="16" width="19.85546875" style="102" bestFit="1" customWidth="1"/>
    <col min="17" max="17" width="18.85546875" style="102" bestFit="1" customWidth="1"/>
    <col min="18" max="18" width="16.85546875" style="102" customWidth="1"/>
    <col min="19" max="16384" width="11.42578125" style="102"/>
  </cols>
  <sheetData>
    <row r="1" spans="1:10" ht="15" x14ac:dyDescent="0.25">
      <c r="B1" s="705" t="s">
        <v>7</v>
      </c>
      <c r="C1" s="705"/>
      <c r="D1" s="705"/>
      <c r="E1" s="705"/>
      <c r="F1" s="705"/>
      <c r="G1" s="705"/>
      <c r="H1" s="705"/>
      <c r="I1" s="705"/>
      <c r="J1" s="705"/>
    </row>
    <row r="2" spans="1:10" ht="15" x14ac:dyDescent="0.25">
      <c r="A2" s="103"/>
      <c r="B2" s="422"/>
      <c r="C2" s="422"/>
      <c r="D2" s="422"/>
      <c r="E2" s="422"/>
      <c r="F2" s="422"/>
      <c r="G2" s="422"/>
      <c r="H2" s="422"/>
      <c r="I2" s="422"/>
      <c r="J2" s="422"/>
    </row>
    <row r="3" spans="1:10" ht="15" x14ac:dyDescent="0.25">
      <c r="B3" s="423" t="s">
        <v>455</v>
      </c>
      <c r="D3" s="424"/>
    </row>
    <row r="4" spans="1:10" ht="15" x14ac:dyDescent="0.25">
      <c r="B4" s="425" t="s">
        <v>456</v>
      </c>
      <c r="D4" s="424"/>
    </row>
    <row r="5" spans="1:10" x14ac:dyDescent="0.2">
      <c r="A5" s="426"/>
      <c r="D5" s="424"/>
    </row>
    <row r="6" spans="1:10" ht="15" x14ac:dyDescent="0.25">
      <c r="B6" s="706" t="s">
        <v>457</v>
      </c>
      <c r="C6" s="706"/>
      <c r="D6" s="706"/>
      <c r="E6" s="706"/>
    </row>
    <row r="7" spans="1:10" ht="15" x14ac:dyDescent="0.25">
      <c r="B7" s="427" t="s">
        <v>458</v>
      </c>
      <c r="C7" s="427" t="s">
        <v>11</v>
      </c>
      <c r="D7" s="428" t="s">
        <v>55</v>
      </c>
      <c r="E7" s="427" t="s">
        <v>56</v>
      </c>
    </row>
    <row r="8" spans="1:10" x14ac:dyDescent="0.2">
      <c r="B8" s="104" t="s">
        <v>459</v>
      </c>
      <c r="C8" s="104" t="s">
        <v>460</v>
      </c>
      <c r="D8" s="429">
        <v>17927128</v>
      </c>
      <c r="E8" s="430" t="s">
        <v>461</v>
      </c>
    </row>
    <row r="9" spans="1:10" x14ac:dyDescent="0.2">
      <c r="B9" s="104" t="s">
        <v>462</v>
      </c>
      <c r="C9" s="104" t="s">
        <v>463</v>
      </c>
      <c r="D9" s="429">
        <v>16197317</v>
      </c>
      <c r="E9" s="430" t="s">
        <v>461</v>
      </c>
    </row>
    <row r="10" spans="1:10" x14ac:dyDescent="0.2">
      <c r="B10" s="104" t="s">
        <v>464</v>
      </c>
      <c r="C10" s="104" t="s">
        <v>465</v>
      </c>
      <c r="D10" s="429">
        <v>14467506</v>
      </c>
      <c r="E10" s="430" t="s">
        <v>461</v>
      </c>
    </row>
    <row r="11" spans="1:10" x14ac:dyDescent="0.2">
      <c r="B11" s="104" t="s">
        <v>466</v>
      </c>
      <c r="C11" s="104" t="s">
        <v>467</v>
      </c>
      <c r="D11" s="429">
        <v>12894949</v>
      </c>
      <c r="E11" s="430" t="s">
        <v>461</v>
      </c>
    </row>
    <row r="12" spans="1:10" x14ac:dyDescent="0.2">
      <c r="B12" s="104" t="s">
        <v>468</v>
      </c>
      <c r="C12" s="104" t="s">
        <v>469</v>
      </c>
      <c r="D12" s="429">
        <v>11479652</v>
      </c>
      <c r="E12" s="430" t="s">
        <v>461</v>
      </c>
    </row>
    <row r="13" spans="1:10" ht="15" thickBot="1" x14ac:dyDescent="0.25">
      <c r="B13" s="104" t="s">
        <v>470</v>
      </c>
      <c r="C13" s="104" t="s">
        <v>471</v>
      </c>
      <c r="D13" s="429">
        <v>10850628</v>
      </c>
      <c r="E13" s="430" t="s">
        <v>461</v>
      </c>
      <c r="G13" s="431"/>
    </row>
    <row r="14" spans="1:10" x14ac:dyDescent="0.2">
      <c r="B14" s="104" t="s">
        <v>472</v>
      </c>
      <c r="C14" s="104" t="s">
        <v>473</v>
      </c>
      <c r="D14" s="429">
        <v>10378862</v>
      </c>
      <c r="E14" s="430" t="s">
        <v>461</v>
      </c>
      <c r="G14" s="432" t="s">
        <v>474</v>
      </c>
      <c r="H14" s="433"/>
      <c r="I14" s="433"/>
      <c r="J14" s="434"/>
    </row>
    <row r="15" spans="1:10" x14ac:dyDescent="0.2">
      <c r="B15" s="104" t="s">
        <v>475</v>
      </c>
      <c r="C15" s="104" t="s">
        <v>476</v>
      </c>
      <c r="D15" s="429">
        <v>9907096</v>
      </c>
      <c r="E15" s="430" t="s">
        <v>461</v>
      </c>
      <c r="G15" s="435"/>
      <c r="J15" s="436"/>
    </row>
    <row r="16" spans="1:10" x14ac:dyDescent="0.2">
      <c r="B16" s="104" t="s">
        <v>477</v>
      </c>
      <c r="C16" s="104" t="s">
        <v>478</v>
      </c>
      <c r="D16" s="429">
        <v>8963563</v>
      </c>
      <c r="E16" s="430" t="s">
        <v>461</v>
      </c>
      <c r="G16" s="437" t="s">
        <v>479</v>
      </c>
      <c r="H16" s="102" t="s">
        <v>480</v>
      </c>
      <c r="J16" s="436"/>
    </row>
    <row r="17" spans="2:10" x14ac:dyDescent="0.2">
      <c r="B17" s="104" t="s">
        <v>481</v>
      </c>
      <c r="C17" s="104" t="s">
        <v>482</v>
      </c>
      <c r="D17" s="429">
        <v>7862772</v>
      </c>
      <c r="E17" s="430" t="s">
        <v>461</v>
      </c>
      <c r="G17" s="437" t="s">
        <v>483</v>
      </c>
      <c r="H17" s="102" t="s">
        <v>484</v>
      </c>
      <c r="J17" s="436"/>
    </row>
    <row r="18" spans="2:10" x14ac:dyDescent="0.2">
      <c r="B18" s="104" t="s">
        <v>485</v>
      </c>
      <c r="C18" s="104" t="s">
        <v>486</v>
      </c>
      <c r="D18" s="429">
        <v>7233751</v>
      </c>
      <c r="E18" s="430" t="s">
        <v>461</v>
      </c>
      <c r="G18" s="437" t="s">
        <v>487</v>
      </c>
      <c r="H18" s="102" t="s">
        <v>488</v>
      </c>
      <c r="J18" s="436"/>
    </row>
    <row r="19" spans="2:10" x14ac:dyDescent="0.2">
      <c r="B19" s="104" t="s">
        <v>489</v>
      </c>
      <c r="C19" s="104" t="s">
        <v>490</v>
      </c>
      <c r="D19" s="429">
        <v>6604729</v>
      </c>
      <c r="E19" s="430" t="s">
        <v>461</v>
      </c>
      <c r="G19" s="437" t="s">
        <v>491</v>
      </c>
      <c r="H19" s="102" t="s">
        <v>492</v>
      </c>
      <c r="J19" s="436"/>
    </row>
    <row r="20" spans="2:10" x14ac:dyDescent="0.2">
      <c r="B20" s="104" t="s">
        <v>493</v>
      </c>
      <c r="C20" s="104" t="s">
        <v>494</v>
      </c>
      <c r="D20" s="429">
        <v>5661197</v>
      </c>
      <c r="E20" s="430" t="s">
        <v>461</v>
      </c>
      <c r="G20" s="437" t="s">
        <v>495</v>
      </c>
      <c r="H20" s="102" t="s">
        <v>496</v>
      </c>
      <c r="J20" s="436"/>
    </row>
    <row r="21" spans="2:10" x14ac:dyDescent="0.2">
      <c r="B21" s="104" t="s">
        <v>497</v>
      </c>
      <c r="C21" s="104" t="s">
        <v>498</v>
      </c>
      <c r="D21" s="429">
        <v>5032173</v>
      </c>
      <c r="E21" s="430" t="s">
        <v>461</v>
      </c>
      <c r="G21" s="437" t="s">
        <v>499</v>
      </c>
      <c r="H21" s="102" t="s">
        <v>500</v>
      </c>
      <c r="J21" s="436"/>
    </row>
    <row r="22" spans="2:10" x14ac:dyDescent="0.2">
      <c r="B22" s="104" t="s">
        <v>501</v>
      </c>
      <c r="C22" s="104" t="s">
        <v>502</v>
      </c>
      <c r="D22" s="429">
        <v>4560407</v>
      </c>
      <c r="E22" s="430" t="s">
        <v>461</v>
      </c>
      <c r="G22" s="437" t="s">
        <v>503</v>
      </c>
      <c r="H22" s="102" t="s">
        <v>504</v>
      </c>
      <c r="J22" s="436"/>
    </row>
    <row r="23" spans="2:10" ht="15" thickBot="1" x14ac:dyDescent="0.25">
      <c r="B23" s="104" t="s">
        <v>505</v>
      </c>
      <c r="C23" s="104" t="s">
        <v>506</v>
      </c>
      <c r="D23" s="429">
        <v>3931384</v>
      </c>
      <c r="E23" s="430" t="s">
        <v>461</v>
      </c>
      <c r="G23" s="438"/>
      <c r="H23" s="439"/>
      <c r="I23" s="439"/>
      <c r="J23" s="440"/>
    </row>
    <row r="24" spans="2:10" x14ac:dyDescent="0.2">
      <c r="B24" s="104" t="s">
        <v>507</v>
      </c>
      <c r="C24" s="104" t="s">
        <v>508</v>
      </c>
      <c r="D24" s="429">
        <v>3538246</v>
      </c>
      <c r="E24" s="430" t="s">
        <v>461</v>
      </c>
    </row>
    <row r="25" spans="2:10" x14ac:dyDescent="0.2">
      <c r="B25" s="104" t="s">
        <v>509</v>
      </c>
      <c r="C25" s="104" t="s">
        <v>510</v>
      </c>
      <c r="D25" s="429">
        <v>3145107</v>
      </c>
      <c r="E25" s="430" t="s">
        <v>461</v>
      </c>
    </row>
    <row r="26" spans="2:10" x14ac:dyDescent="0.2">
      <c r="B26" s="104" t="s">
        <v>511</v>
      </c>
      <c r="C26" s="104" t="s">
        <v>512</v>
      </c>
      <c r="D26" s="429">
        <v>2830596</v>
      </c>
      <c r="E26" s="430" t="s">
        <v>461</v>
      </c>
    </row>
    <row r="27" spans="2:10" x14ac:dyDescent="0.2">
      <c r="B27" s="104" t="s">
        <v>513</v>
      </c>
      <c r="C27" s="104" t="s">
        <v>514</v>
      </c>
      <c r="D27" s="429">
        <v>2516084</v>
      </c>
      <c r="E27" s="430" t="s">
        <v>461</v>
      </c>
    </row>
    <row r="28" spans="2:10" x14ac:dyDescent="0.2">
      <c r="B28" s="104" t="s">
        <v>515</v>
      </c>
      <c r="C28" s="104" t="s">
        <v>516</v>
      </c>
      <c r="D28" s="429">
        <v>2201574</v>
      </c>
      <c r="E28" s="430" t="s">
        <v>461</v>
      </c>
    </row>
    <row r="29" spans="2:10" x14ac:dyDescent="0.2">
      <c r="B29" s="104" t="s">
        <v>517</v>
      </c>
      <c r="C29" s="104" t="s">
        <v>518</v>
      </c>
      <c r="D29" s="429">
        <v>1887064</v>
      </c>
      <c r="E29" s="430" t="s">
        <v>461</v>
      </c>
    </row>
    <row r="30" spans="2:10" x14ac:dyDescent="0.2">
      <c r="B30" s="104" t="s">
        <v>519</v>
      </c>
      <c r="C30" s="104" t="s">
        <v>520</v>
      </c>
      <c r="D30" s="429">
        <v>1572552</v>
      </c>
      <c r="E30" s="430" t="s">
        <v>461</v>
      </c>
    </row>
    <row r="31" spans="2:10" x14ac:dyDescent="0.2">
      <c r="B31" s="104" t="s">
        <v>521</v>
      </c>
      <c r="C31" s="104" t="s">
        <v>522</v>
      </c>
      <c r="D31" s="429">
        <v>1258039</v>
      </c>
      <c r="E31" s="430" t="s">
        <v>461</v>
      </c>
    </row>
    <row r="32" spans="2:10" x14ac:dyDescent="0.2">
      <c r="B32" s="102" t="s">
        <v>523</v>
      </c>
      <c r="D32" s="424"/>
    </row>
    <row r="33" spans="2:5" ht="15" x14ac:dyDescent="0.25">
      <c r="B33" s="441" t="s">
        <v>524</v>
      </c>
      <c r="D33" s="424"/>
    </row>
    <row r="34" spans="2:5" x14ac:dyDescent="0.2">
      <c r="B34" s="102" t="s">
        <v>525</v>
      </c>
    </row>
    <row r="37" spans="2:5" ht="15" x14ac:dyDescent="0.25">
      <c r="B37" s="423" t="s">
        <v>526</v>
      </c>
    </row>
    <row r="38" spans="2:5" x14ac:dyDescent="0.2">
      <c r="D38" s="40"/>
    </row>
    <row r="39" spans="2:5" ht="15" x14ac:dyDescent="0.25">
      <c r="B39" s="425" t="s">
        <v>527</v>
      </c>
      <c r="D39" s="40"/>
    </row>
    <row r="40" spans="2:5" ht="15" x14ac:dyDescent="0.25">
      <c r="B40" s="442" t="s">
        <v>528</v>
      </c>
      <c r="C40" s="442"/>
      <c r="D40" s="442"/>
      <c r="E40" s="442"/>
    </row>
    <row r="41" spans="2:5" ht="15" x14ac:dyDescent="0.25">
      <c r="B41" s="427" t="s">
        <v>458</v>
      </c>
      <c r="C41" s="443" t="s">
        <v>11</v>
      </c>
      <c r="D41" s="444" t="s">
        <v>529</v>
      </c>
      <c r="E41" s="445" t="s">
        <v>55</v>
      </c>
    </row>
    <row r="42" spans="2:5" x14ac:dyDescent="0.2">
      <c r="B42" s="104" t="s">
        <v>459</v>
      </c>
      <c r="C42" s="104" t="s">
        <v>530</v>
      </c>
      <c r="D42" s="446">
        <v>17927128</v>
      </c>
      <c r="E42" s="447">
        <f>D81</f>
        <v>845463</v>
      </c>
    </row>
    <row r="43" spans="2:5" x14ac:dyDescent="0.2">
      <c r="B43" s="104" t="s">
        <v>462</v>
      </c>
      <c r="C43" s="104" t="s">
        <v>531</v>
      </c>
      <c r="D43" s="446">
        <v>16197317</v>
      </c>
      <c r="E43" s="447">
        <f>D81</f>
        <v>845463</v>
      </c>
    </row>
    <row r="44" spans="2:5" x14ac:dyDescent="0.2">
      <c r="B44" s="104" t="s">
        <v>464</v>
      </c>
      <c r="C44" s="104" t="s">
        <v>532</v>
      </c>
      <c r="D44" s="446">
        <v>14467506</v>
      </c>
      <c r="E44" s="447">
        <f>D80</f>
        <v>717923</v>
      </c>
    </row>
    <row r="45" spans="2:5" x14ac:dyDescent="0.2">
      <c r="B45" s="104" t="s">
        <v>466</v>
      </c>
      <c r="C45" s="104" t="s">
        <v>533</v>
      </c>
      <c r="D45" s="446">
        <v>12894949</v>
      </c>
      <c r="E45" s="447">
        <f>D80</f>
        <v>717923</v>
      </c>
    </row>
    <row r="46" spans="2:5" x14ac:dyDescent="0.2">
      <c r="B46" s="104" t="s">
        <v>468</v>
      </c>
      <c r="C46" s="104" t="s">
        <v>534</v>
      </c>
      <c r="D46" s="446">
        <v>11479652</v>
      </c>
      <c r="E46" s="447">
        <f>D79</f>
        <v>593522</v>
      </c>
    </row>
    <row r="47" spans="2:5" x14ac:dyDescent="0.2">
      <c r="B47" s="104" t="s">
        <v>470</v>
      </c>
      <c r="C47" s="104" t="s">
        <v>535</v>
      </c>
      <c r="D47" s="446">
        <v>10850628</v>
      </c>
      <c r="E47" s="447">
        <f>D79</f>
        <v>593522</v>
      </c>
    </row>
    <row r="48" spans="2:5" x14ac:dyDescent="0.2">
      <c r="B48" s="104" t="s">
        <v>472</v>
      </c>
      <c r="C48" s="104" t="s">
        <v>536</v>
      </c>
      <c r="D48" s="446">
        <v>10378862</v>
      </c>
      <c r="E48" s="447">
        <f>D79</f>
        <v>593522</v>
      </c>
    </row>
    <row r="49" spans="2:5" x14ac:dyDescent="0.2">
      <c r="B49" s="104" t="s">
        <v>475</v>
      </c>
      <c r="C49" s="104" t="s">
        <v>537</v>
      </c>
      <c r="D49" s="446">
        <v>9907096</v>
      </c>
      <c r="E49" s="447">
        <f>D79</f>
        <v>593522</v>
      </c>
    </row>
    <row r="50" spans="2:5" x14ac:dyDescent="0.2">
      <c r="B50" s="104" t="s">
        <v>477</v>
      </c>
      <c r="C50" s="104" t="s">
        <v>538</v>
      </c>
      <c r="D50" s="446">
        <v>8963563</v>
      </c>
      <c r="E50" s="447">
        <f>D78</f>
        <v>456561</v>
      </c>
    </row>
    <row r="51" spans="2:5" x14ac:dyDescent="0.2">
      <c r="B51" s="104" t="s">
        <v>481</v>
      </c>
      <c r="C51" s="104" t="s">
        <v>539</v>
      </c>
      <c r="D51" s="446">
        <v>7862772</v>
      </c>
      <c r="E51" s="447">
        <f>D78</f>
        <v>456561</v>
      </c>
    </row>
    <row r="52" spans="2:5" x14ac:dyDescent="0.2">
      <c r="B52" s="104" t="s">
        <v>485</v>
      </c>
      <c r="C52" s="104" t="s">
        <v>540</v>
      </c>
      <c r="D52" s="446">
        <v>7233751</v>
      </c>
      <c r="E52" s="447">
        <f>D78</f>
        <v>456561</v>
      </c>
    </row>
    <row r="53" spans="2:5" x14ac:dyDescent="0.2">
      <c r="B53" s="104" t="s">
        <v>489</v>
      </c>
      <c r="C53" s="104" t="s">
        <v>541</v>
      </c>
      <c r="D53" s="446">
        <v>6604729</v>
      </c>
      <c r="E53" s="447">
        <f>D77</f>
        <v>338443</v>
      </c>
    </row>
    <row r="54" spans="2:5" x14ac:dyDescent="0.2">
      <c r="B54" s="104" t="s">
        <v>493</v>
      </c>
      <c r="C54" s="104" t="s">
        <v>542</v>
      </c>
      <c r="D54" s="446">
        <v>5661197</v>
      </c>
      <c r="E54" s="447">
        <f>D76</f>
        <v>278634</v>
      </c>
    </row>
    <row r="55" spans="2:5" x14ac:dyDescent="0.2">
      <c r="B55" s="104" t="s">
        <v>497</v>
      </c>
      <c r="C55" s="104" t="s">
        <v>543</v>
      </c>
      <c r="D55" s="446">
        <v>5032173</v>
      </c>
      <c r="E55" s="447">
        <f>D76</f>
        <v>278634</v>
      </c>
    </row>
    <row r="56" spans="2:5" x14ac:dyDescent="0.2">
      <c r="B56" s="104" t="s">
        <v>501</v>
      </c>
      <c r="C56" s="104" t="s">
        <v>544</v>
      </c>
      <c r="D56" s="446">
        <v>4560407</v>
      </c>
      <c r="E56" s="447">
        <f>D76</f>
        <v>278634</v>
      </c>
    </row>
    <row r="57" spans="2:5" x14ac:dyDescent="0.2">
      <c r="B57" s="104" t="s">
        <v>505</v>
      </c>
      <c r="C57" s="104" t="s">
        <v>545</v>
      </c>
      <c r="D57" s="446">
        <v>3931384</v>
      </c>
      <c r="E57" s="447">
        <f>D75</f>
        <v>246864</v>
      </c>
    </row>
    <row r="58" spans="2:5" x14ac:dyDescent="0.2">
      <c r="B58" s="104" t="s">
        <v>507</v>
      </c>
      <c r="C58" s="104" t="s">
        <v>546</v>
      </c>
      <c r="D58" s="446">
        <v>3538246</v>
      </c>
      <c r="E58" s="447">
        <f>D75</f>
        <v>246864</v>
      </c>
    </row>
    <row r="59" spans="2:5" x14ac:dyDescent="0.2">
      <c r="B59" s="104" t="s">
        <v>509</v>
      </c>
      <c r="C59" s="104" t="s">
        <v>510</v>
      </c>
      <c r="D59" s="446">
        <v>3145107</v>
      </c>
      <c r="E59" s="447">
        <f>D74</f>
        <v>214980</v>
      </c>
    </row>
    <row r="60" spans="2:5" x14ac:dyDescent="0.2">
      <c r="B60" s="104" t="s">
        <v>511</v>
      </c>
      <c r="C60" s="104" t="s">
        <v>512</v>
      </c>
      <c r="D60" s="446">
        <v>2830596</v>
      </c>
      <c r="E60" s="447">
        <f>D74</f>
        <v>214980</v>
      </c>
    </row>
    <row r="61" spans="2:5" x14ac:dyDescent="0.2">
      <c r="B61" s="104" t="s">
        <v>513</v>
      </c>
      <c r="C61" s="104" t="s">
        <v>514</v>
      </c>
      <c r="D61" s="446">
        <v>2516084</v>
      </c>
      <c r="E61" s="447">
        <f>D73</f>
        <v>184753</v>
      </c>
    </row>
    <row r="62" spans="2:5" x14ac:dyDescent="0.2">
      <c r="B62" s="104" t="s">
        <v>515</v>
      </c>
      <c r="C62" s="104" t="s">
        <v>516</v>
      </c>
      <c r="D62" s="446">
        <v>2201574</v>
      </c>
      <c r="E62" s="447">
        <f>D73</f>
        <v>184753</v>
      </c>
    </row>
    <row r="63" spans="2:5" x14ac:dyDescent="0.2">
      <c r="B63" s="104" t="s">
        <v>517</v>
      </c>
      <c r="C63" s="104" t="s">
        <v>518</v>
      </c>
      <c r="D63" s="446">
        <v>1887064</v>
      </c>
      <c r="E63" s="447">
        <f>D72</f>
        <v>152268</v>
      </c>
    </row>
    <row r="64" spans="2:5" x14ac:dyDescent="0.2">
      <c r="B64" s="104" t="s">
        <v>519</v>
      </c>
      <c r="C64" s="104" t="s">
        <v>520</v>
      </c>
      <c r="D64" s="446">
        <v>1572552</v>
      </c>
      <c r="E64" s="447">
        <f>D72</f>
        <v>152268</v>
      </c>
    </row>
    <row r="65" spans="2:5" x14ac:dyDescent="0.2">
      <c r="B65" s="104" t="s">
        <v>521</v>
      </c>
      <c r="C65" s="104" t="s">
        <v>522</v>
      </c>
      <c r="D65" s="446">
        <v>1258039</v>
      </c>
      <c r="E65" s="447">
        <f>D72</f>
        <v>152268</v>
      </c>
    </row>
    <row r="66" spans="2:5" x14ac:dyDescent="0.2">
      <c r="B66" s="102" t="s">
        <v>547</v>
      </c>
      <c r="D66" s="448"/>
      <c r="E66" s="449"/>
    </row>
    <row r="68" spans="2:5" ht="15" x14ac:dyDescent="0.25">
      <c r="B68" s="425" t="s">
        <v>548</v>
      </c>
      <c r="D68" s="40"/>
    </row>
    <row r="69" spans="2:5" ht="14.25" customHeight="1" x14ac:dyDescent="0.2">
      <c r="B69" s="707" t="s">
        <v>549</v>
      </c>
      <c r="C69" s="708"/>
      <c r="D69" s="709"/>
    </row>
    <row r="70" spans="2:5" ht="27.95" customHeight="1" x14ac:dyDescent="0.2">
      <c r="B70" s="450" t="s">
        <v>550</v>
      </c>
      <c r="C70" s="451" t="s">
        <v>551</v>
      </c>
      <c r="D70" s="452" t="s">
        <v>552</v>
      </c>
    </row>
    <row r="71" spans="2:5" x14ac:dyDescent="0.2">
      <c r="B71" s="453" t="s">
        <v>553</v>
      </c>
      <c r="C71" s="710" t="s">
        <v>554</v>
      </c>
      <c r="D71" s="446">
        <v>111414</v>
      </c>
    </row>
    <row r="72" spans="2:5" x14ac:dyDescent="0.2">
      <c r="B72" s="453" t="s">
        <v>555</v>
      </c>
      <c r="C72" s="711"/>
      <c r="D72" s="446">
        <v>152268</v>
      </c>
    </row>
    <row r="73" spans="2:5" x14ac:dyDescent="0.2">
      <c r="B73" s="453" t="s">
        <v>556</v>
      </c>
      <c r="C73" s="711"/>
      <c r="D73" s="446">
        <v>184753</v>
      </c>
    </row>
    <row r="74" spans="2:5" x14ac:dyDescent="0.2">
      <c r="B74" s="453" t="s">
        <v>557</v>
      </c>
      <c r="C74" s="711"/>
      <c r="D74" s="446">
        <v>214980</v>
      </c>
    </row>
    <row r="75" spans="2:5" x14ac:dyDescent="0.2">
      <c r="B75" s="453" t="s">
        <v>558</v>
      </c>
      <c r="C75" s="711"/>
      <c r="D75" s="446">
        <v>246864</v>
      </c>
    </row>
    <row r="76" spans="2:5" x14ac:dyDescent="0.2">
      <c r="B76" s="453" t="s">
        <v>559</v>
      </c>
      <c r="C76" s="711"/>
      <c r="D76" s="446">
        <v>278634</v>
      </c>
    </row>
    <row r="77" spans="2:5" x14ac:dyDescent="0.2">
      <c r="B77" s="453" t="s">
        <v>560</v>
      </c>
      <c r="C77" s="711"/>
      <c r="D77" s="446">
        <v>338443</v>
      </c>
    </row>
    <row r="78" spans="2:5" x14ac:dyDescent="0.2">
      <c r="B78" s="453" t="s">
        <v>561</v>
      </c>
      <c r="C78" s="711"/>
      <c r="D78" s="446">
        <v>456561</v>
      </c>
    </row>
    <row r="79" spans="2:5" x14ac:dyDescent="0.2">
      <c r="B79" s="453" t="s">
        <v>562</v>
      </c>
      <c r="C79" s="711"/>
      <c r="D79" s="446">
        <v>593522</v>
      </c>
    </row>
    <row r="80" spans="2:5" x14ac:dyDescent="0.2">
      <c r="B80" s="453" t="s">
        <v>563</v>
      </c>
      <c r="C80" s="711"/>
      <c r="D80" s="446">
        <v>717923</v>
      </c>
    </row>
    <row r="81" spans="2:4" x14ac:dyDescent="0.2">
      <c r="B81" s="453" t="s">
        <v>564</v>
      </c>
      <c r="C81" s="712"/>
      <c r="D81" s="446">
        <v>845463</v>
      </c>
    </row>
    <row r="82" spans="2:4" ht="12.95" customHeight="1" x14ac:dyDescent="0.2">
      <c r="B82" s="102" t="s">
        <v>565</v>
      </c>
      <c r="D82" s="40"/>
    </row>
    <row r="83" spans="2:4" ht="12.95" customHeight="1" x14ac:dyDescent="0.2">
      <c r="B83" s="102" t="s">
        <v>566</v>
      </c>
      <c r="D83" s="40"/>
    </row>
    <row r="84" spans="2:4" ht="12.95" customHeight="1" x14ac:dyDescent="0.2">
      <c r="D84" s="40"/>
    </row>
    <row r="86" spans="2:4" ht="15" x14ac:dyDescent="0.25">
      <c r="B86" s="425" t="s">
        <v>567</v>
      </c>
      <c r="D86" s="40"/>
    </row>
    <row r="87" spans="2:4" x14ac:dyDescent="0.2">
      <c r="B87" s="105" t="s">
        <v>568</v>
      </c>
      <c r="C87" s="55">
        <v>320000</v>
      </c>
      <c r="D87" s="40"/>
    </row>
    <row r="88" spans="2:4" x14ac:dyDescent="0.2">
      <c r="B88" s="105" t="s">
        <v>569</v>
      </c>
      <c r="C88" s="55">
        <v>360000</v>
      </c>
      <c r="D88" s="40"/>
    </row>
    <row r="89" spans="2:4" x14ac:dyDescent="0.2">
      <c r="B89" s="105" t="s">
        <v>570</v>
      </c>
      <c r="C89" s="55">
        <v>360000</v>
      </c>
      <c r="D89" s="40"/>
    </row>
    <row r="90" spans="2:4" x14ac:dyDescent="0.2">
      <c r="B90" s="105" t="s">
        <v>571</v>
      </c>
      <c r="C90" s="55">
        <v>560000</v>
      </c>
      <c r="D90" s="40"/>
    </row>
    <row r="91" spans="2:4" ht="15" x14ac:dyDescent="0.25">
      <c r="B91" s="454" t="s">
        <v>572</v>
      </c>
      <c r="C91" s="454">
        <f>AVERAGE(C87:C90)</f>
        <v>400000</v>
      </c>
      <c r="D91" s="40"/>
    </row>
    <row r="92" spans="2:4" x14ac:dyDescent="0.2">
      <c r="B92" s="449" t="s">
        <v>573</v>
      </c>
      <c r="D92" s="40"/>
    </row>
    <row r="93" spans="2:4" x14ac:dyDescent="0.2">
      <c r="B93" s="449" t="s">
        <v>574</v>
      </c>
      <c r="C93" s="449"/>
      <c r="D93" s="40"/>
    </row>
    <row r="94" spans="2:4" x14ac:dyDescent="0.2">
      <c r="B94" s="455"/>
      <c r="D94" s="424"/>
    </row>
    <row r="95" spans="2:4" ht="15" x14ac:dyDescent="0.25">
      <c r="B95" s="713" t="s">
        <v>575</v>
      </c>
      <c r="C95" s="714"/>
      <c r="D95" s="456">
        <v>300000</v>
      </c>
    </row>
    <row r="97" spans="2:5" ht="15" x14ac:dyDescent="0.25">
      <c r="B97" s="425" t="s">
        <v>576</v>
      </c>
      <c r="C97" s="425" t="s">
        <v>577</v>
      </c>
      <c r="D97" s="457" t="s">
        <v>578</v>
      </c>
      <c r="E97" s="454">
        <v>9200</v>
      </c>
    </row>
    <row r="98" spans="2:5" x14ac:dyDescent="0.2">
      <c r="B98" s="105" t="s">
        <v>579</v>
      </c>
      <c r="C98" s="458" t="s">
        <v>580</v>
      </c>
      <c r="D98" s="459"/>
    </row>
    <row r="99" spans="2:5" x14ac:dyDescent="0.2">
      <c r="B99" s="105" t="s">
        <v>581</v>
      </c>
      <c r="C99" s="105" t="s">
        <v>582</v>
      </c>
      <c r="D99" s="459">
        <f>(2000/35)*E97</f>
        <v>525714.2857142858</v>
      </c>
    </row>
    <row r="100" spans="2:5" x14ac:dyDescent="0.2">
      <c r="B100" s="105" t="s">
        <v>583</v>
      </c>
      <c r="C100" s="105" t="s">
        <v>584</v>
      </c>
      <c r="D100" s="459">
        <f>(4000/35)*E97</f>
        <v>1051428.5714285716</v>
      </c>
    </row>
    <row r="101" spans="2:5" ht="15" x14ac:dyDescent="0.25">
      <c r="B101" s="105"/>
      <c r="C101" s="105"/>
      <c r="D101" s="460">
        <f>AVERAGE(D99:D100)</f>
        <v>788571.42857142864</v>
      </c>
    </row>
    <row r="102" spans="2:5" ht="15" x14ac:dyDescent="0.25">
      <c r="B102" s="461" t="s">
        <v>585</v>
      </c>
      <c r="C102" s="461" t="s">
        <v>586</v>
      </c>
      <c r="D102" s="462">
        <f>800000</f>
        <v>800000</v>
      </c>
    </row>
    <row r="103" spans="2:5" s="103" customFormat="1" x14ac:dyDescent="0.2">
      <c r="B103" s="103" t="s">
        <v>587</v>
      </c>
    </row>
    <row r="104" spans="2:5" s="103" customFormat="1" x14ac:dyDescent="0.2"/>
    <row r="105" spans="2:5" s="103" customFormat="1" x14ac:dyDescent="0.2">
      <c r="B105" s="102"/>
      <c r="C105" s="102"/>
      <c r="D105" s="102"/>
      <c r="E105" s="102"/>
    </row>
    <row r="106" spans="2:5" ht="15" x14ac:dyDescent="0.25">
      <c r="B106" s="425" t="s">
        <v>588</v>
      </c>
      <c r="C106" s="462">
        <f>24000*20</f>
        <v>480000</v>
      </c>
    </row>
    <row r="107" spans="2:5" ht="15" x14ac:dyDescent="0.25">
      <c r="B107" s="463" t="s">
        <v>589</v>
      </c>
      <c r="C107" s="464">
        <f>500000</f>
        <v>500000</v>
      </c>
    </row>
    <row r="108" spans="2:5" x14ac:dyDescent="0.2">
      <c r="B108" s="691" t="s">
        <v>590</v>
      </c>
      <c r="C108" s="685"/>
    </row>
    <row r="109" spans="2:5" x14ac:dyDescent="0.2">
      <c r="B109" s="691" t="s">
        <v>591</v>
      </c>
      <c r="C109" s="685"/>
    </row>
    <row r="110" spans="2:5" x14ac:dyDescent="0.2">
      <c r="B110" s="42"/>
      <c r="C110" s="42"/>
    </row>
    <row r="111" spans="2:5" ht="15" x14ac:dyDescent="0.25">
      <c r="B111" s="425" t="s">
        <v>592</v>
      </c>
      <c r="C111" s="42"/>
    </row>
    <row r="112" spans="2:5" x14ac:dyDescent="0.2">
      <c r="B112" s="105" t="s">
        <v>593</v>
      </c>
      <c r="C112" s="43">
        <f>C107</f>
        <v>500000</v>
      </c>
    </row>
    <row r="113" spans="2:4" x14ac:dyDescent="0.2">
      <c r="B113" s="105" t="s">
        <v>576</v>
      </c>
      <c r="C113" s="43">
        <f>D102</f>
        <v>800000</v>
      </c>
    </row>
    <row r="114" spans="2:4" ht="15" x14ac:dyDescent="0.25">
      <c r="B114" s="425" t="s">
        <v>57</v>
      </c>
      <c r="C114" s="462">
        <f>C112+C113</f>
        <v>1300000</v>
      </c>
    </row>
    <row r="116" spans="2:4" ht="15" x14ac:dyDescent="0.25">
      <c r="B116" s="425" t="s">
        <v>594</v>
      </c>
      <c r="C116" s="457" t="s">
        <v>55</v>
      </c>
    </row>
    <row r="117" spans="2:4" x14ac:dyDescent="0.2">
      <c r="B117" s="104" t="s">
        <v>595</v>
      </c>
      <c r="C117" s="43">
        <v>35000</v>
      </c>
    </row>
    <row r="118" spans="2:4" x14ac:dyDescent="0.2">
      <c r="B118" s="104" t="s">
        <v>596</v>
      </c>
      <c r="C118" s="43">
        <v>120000</v>
      </c>
    </row>
    <row r="119" spans="2:4" ht="15" x14ac:dyDescent="0.25">
      <c r="B119" s="457" t="s">
        <v>33</v>
      </c>
      <c r="C119" s="456">
        <f>C118+C117</f>
        <v>155000</v>
      </c>
    </row>
    <row r="120" spans="2:4" x14ac:dyDescent="0.2">
      <c r="B120" s="104" t="s">
        <v>597</v>
      </c>
      <c r="C120" s="43">
        <v>190000</v>
      </c>
    </row>
    <row r="121" spans="2:4" x14ac:dyDescent="0.2">
      <c r="B121" s="104" t="s">
        <v>598</v>
      </c>
      <c r="C121" s="43">
        <v>40000</v>
      </c>
    </row>
    <row r="122" spans="2:4" x14ac:dyDescent="0.2">
      <c r="B122" s="104" t="s">
        <v>599</v>
      </c>
      <c r="C122" s="43"/>
    </row>
    <row r="123" spans="2:4" ht="15" x14ac:dyDescent="0.25">
      <c r="B123" s="457" t="s">
        <v>33</v>
      </c>
      <c r="C123" s="456">
        <f>C119+C120+C121</f>
        <v>385000</v>
      </c>
    </row>
    <row r="124" spans="2:4" x14ac:dyDescent="0.2">
      <c r="B124" s="691" t="s">
        <v>600</v>
      </c>
      <c r="C124" s="685"/>
    </row>
    <row r="126" spans="2:4" ht="15" x14ac:dyDescent="0.25">
      <c r="B126" s="425" t="s">
        <v>601</v>
      </c>
      <c r="D126" s="40"/>
    </row>
    <row r="127" spans="2:4" x14ac:dyDescent="0.2">
      <c r="B127" s="102" t="s">
        <v>572</v>
      </c>
      <c r="D127" s="40"/>
    </row>
    <row r="128" spans="2:4" x14ac:dyDescent="0.2">
      <c r="D128" s="40"/>
    </row>
    <row r="129" spans="1:4" ht="15" x14ac:dyDescent="0.25">
      <c r="B129" s="465" t="s">
        <v>602</v>
      </c>
      <c r="C129" s="465" t="s">
        <v>603</v>
      </c>
      <c r="D129" s="424"/>
    </row>
    <row r="130" spans="1:4" x14ac:dyDescent="0.2">
      <c r="B130" s="447" t="s">
        <v>604</v>
      </c>
      <c r="C130" s="43">
        <v>2000000</v>
      </c>
      <c r="D130" s="424"/>
    </row>
    <row r="131" spans="1:4" ht="13.5" customHeight="1" x14ac:dyDescent="0.2">
      <c r="B131" s="447" t="s">
        <v>605</v>
      </c>
      <c r="C131" s="43">
        <v>1300000</v>
      </c>
      <c r="D131" s="424"/>
    </row>
    <row r="132" spans="1:4" x14ac:dyDescent="0.2">
      <c r="B132" s="447" t="s">
        <v>606</v>
      </c>
      <c r="C132" s="43">
        <v>3500000</v>
      </c>
      <c r="D132" s="424"/>
    </row>
    <row r="133" spans="1:4" x14ac:dyDescent="0.2">
      <c r="B133" s="447" t="s">
        <v>607</v>
      </c>
      <c r="C133" s="43">
        <v>1800000</v>
      </c>
      <c r="D133" s="424"/>
    </row>
    <row r="134" spans="1:4" ht="12.75" customHeight="1" x14ac:dyDescent="0.2">
      <c r="B134" s="691" t="s">
        <v>608</v>
      </c>
      <c r="C134" s="685"/>
      <c r="D134" s="424"/>
    </row>
    <row r="135" spans="1:4" x14ac:dyDescent="0.2">
      <c r="B135" s="449" t="s">
        <v>609</v>
      </c>
      <c r="C135" s="466"/>
      <c r="D135" s="424"/>
    </row>
    <row r="137" spans="1:4" ht="15" x14ac:dyDescent="0.25">
      <c r="B137" s="467" t="s">
        <v>610</v>
      </c>
      <c r="C137" s="467">
        <v>7</v>
      </c>
    </row>
    <row r="138" spans="1:4" ht="15" x14ac:dyDescent="0.25">
      <c r="B138" s="467" t="s">
        <v>611</v>
      </c>
      <c r="C138" s="467">
        <v>19</v>
      </c>
    </row>
    <row r="139" spans="1:4" ht="15" x14ac:dyDescent="0.25">
      <c r="B139" s="468" t="s">
        <v>612</v>
      </c>
      <c r="C139" s="468">
        <v>4</v>
      </c>
    </row>
    <row r="140" spans="1:4" x14ac:dyDescent="0.2">
      <c r="A140" s="449"/>
      <c r="B140" s="102" t="s">
        <v>613</v>
      </c>
    </row>
    <row r="143" spans="1:4" ht="15" x14ac:dyDescent="0.25">
      <c r="B143" s="467" t="s">
        <v>614</v>
      </c>
    </row>
    <row r="144" spans="1:4" x14ac:dyDescent="0.2">
      <c r="A144" s="104">
        <v>1</v>
      </c>
      <c r="B144" s="469" t="s">
        <v>615</v>
      </c>
    </row>
    <row r="145" spans="1:3" x14ac:dyDescent="0.2">
      <c r="A145" s="104">
        <v>2</v>
      </c>
      <c r="B145" s="469" t="s">
        <v>616</v>
      </c>
    </row>
    <row r="146" spans="1:3" x14ac:dyDescent="0.2">
      <c r="A146" s="104">
        <v>3</v>
      </c>
      <c r="B146" s="469" t="s">
        <v>617</v>
      </c>
    </row>
    <row r="147" spans="1:3" x14ac:dyDescent="0.2">
      <c r="A147" s="104">
        <v>4</v>
      </c>
      <c r="B147" s="469" t="s">
        <v>618</v>
      </c>
    </row>
    <row r="148" spans="1:3" x14ac:dyDescent="0.2">
      <c r="A148" s="104">
        <v>5</v>
      </c>
      <c r="B148" s="469" t="s">
        <v>619</v>
      </c>
    </row>
    <row r="149" spans="1:3" x14ac:dyDescent="0.2">
      <c r="A149" s="104">
        <v>6</v>
      </c>
      <c r="B149" s="469" t="s">
        <v>620</v>
      </c>
    </row>
    <row r="150" spans="1:3" x14ac:dyDescent="0.2">
      <c r="A150" s="104">
        <v>7</v>
      </c>
      <c r="B150" s="469" t="s">
        <v>621</v>
      </c>
    </row>
    <row r="154" spans="1:3" ht="15" x14ac:dyDescent="0.25">
      <c r="B154" s="467" t="s">
        <v>622</v>
      </c>
      <c r="C154" s="467" t="s">
        <v>623</v>
      </c>
    </row>
    <row r="155" spans="1:3" x14ac:dyDescent="0.2">
      <c r="A155" s="104">
        <v>1</v>
      </c>
      <c r="B155" s="470" t="s">
        <v>624</v>
      </c>
      <c r="C155" s="471">
        <v>1</v>
      </c>
    </row>
    <row r="156" spans="1:3" x14ac:dyDescent="0.2">
      <c r="A156" s="104">
        <v>2</v>
      </c>
      <c r="B156" s="470" t="s">
        <v>625</v>
      </c>
      <c r="C156" s="471">
        <v>1</v>
      </c>
    </row>
    <row r="157" spans="1:3" ht="15" customHeight="1" x14ac:dyDescent="0.2">
      <c r="A157" s="104">
        <v>3</v>
      </c>
      <c r="B157" s="470" t="s">
        <v>626</v>
      </c>
      <c r="C157" s="471">
        <v>0.99</v>
      </c>
    </row>
    <row r="158" spans="1:3" x14ac:dyDescent="0.2">
      <c r="A158" s="104">
        <v>4</v>
      </c>
      <c r="B158" s="470" t="s">
        <v>627</v>
      </c>
      <c r="C158" s="471">
        <v>0.95</v>
      </c>
    </row>
    <row r="159" spans="1:3" x14ac:dyDescent="0.2">
      <c r="A159" s="104">
        <v>5</v>
      </c>
      <c r="B159" s="470" t="s">
        <v>628</v>
      </c>
      <c r="C159" s="471">
        <v>0.93</v>
      </c>
    </row>
    <row r="160" spans="1:3" x14ac:dyDescent="0.2">
      <c r="A160" s="104">
        <v>6</v>
      </c>
      <c r="B160" s="470" t="s">
        <v>629</v>
      </c>
      <c r="C160" s="471">
        <v>0.86</v>
      </c>
    </row>
    <row r="161" spans="1:3" x14ac:dyDescent="0.2">
      <c r="A161" s="104">
        <v>7</v>
      </c>
      <c r="B161" s="470" t="s">
        <v>630</v>
      </c>
      <c r="C161" s="471">
        <v>0.49</v>
      </c>
    </row>
    <row r="162" spans="1:3" x14ac:dyDescent="0.2">
      <c r="A162" s="104">
        <v>8</v>
      </c>
      <c r="B162" s="470" t="s">
        <v>631</v>
      </c>
      <c r="C162" s="471">
        <v>0.49</v>
      </c>
    </row>
    <row r="163" spans="1:3" x14ac:dyDescent="0.2">
      <c r="A163" s="104">
        <v>9</v>
      </c>
      <c r="B163" s="470" t="s">
        <v>632</v>
      </c>
      <c r="C163" s="471">
        <v>0.44</v>
      </c>
    </row>
    <row r="164" spans="1:3" x14ac:dyDescent="0.2">
      <c r="A164" s="104">
        <v>10</v>
      </c>
      <c r="B164" s="470" t="s">
        <v>633</v>
      </c>
      <c r="C164" s="471">
        <v>0.31</v>
      </c>
    </row>
    <row r="165" spans="1:3" x14ac:dyDescent="0.2">
      <c r="A165" s="104">
        <v>11</v>
      </c>
      <c r="B165" s="472" t="s">
        <v>634</v>
      </c>
      <c r="C165" s="473">
        <v>0.18</v>
      </c>
    </row>
    <row r="166" spans="1:3" x14ac:dyDescent="0.2">
      <c r="A166" s="104">
        <v>12</v>
      </c>
      <c r="B166" s="472" t="s">
        <v>635</v>
      </c>
      <c r="C166" s="473">
        <v>0.18</v>
      </c>
    </row>
    <row r="167" spans="1:3" x14ac:dyDescent="0.2">
      <c r="A167" s="104">
        <v>13</v>
      </c>
      <c r="B167" s="472" t="s">
        <v>636</v>
      </c>
      <c r="C167" s="473">
        <v>0.15</v>
      </c>
    </row>
    <row r="168" spans="1:3" x14ac:dyDescent="0.2">
      <c r="A168" s="104">
        <v>14</v>
      </c>
      <c r="B168" s="472" t="s">
        <v>637</v>
      </c>
      <c r="C168" s="473">
        <v>0.14000000000000001</v>
      </c>
    </row>
    <row r="169" spans="1:3" x14ac:dyDescent="0.2">
      <c r="A169" s="104">
        <v>15</v>
      </c>
      <c r="B169" s="472" t="s">
        <v>638</v>
      </c>
      <c r="C169" s="473">
        <v>0.12</v>
      </c>
    </row>
    <row r="170" spans="1:3" x14ac:dyDescent="0.2">
      <c r="A170" s="104">
        <v>16</v>
      </c>
      <c r="B170" s="472" t="s">
        <v>639</v>
      </c>
      <c r="C170" s="473">
        <v>7.0000000000000007E-2</v>
      </c>
    </row>
    <row r="171" spans="1:3" x14ac:dyDescent="0.2">
      <c r="A171" s="104">
        <v>17</v>
      </c>
      <c r="B171" s="472" t="s">
        <v>640</v>
      </c>
      <c r="C171" s="473">
        <v>0.01</v>
      </c>
    </row>
    <row r="172" spans="1:3" x14ac:dyDescent="0.2">
      <c r="A172" s="104">
        <v>18</v>
      </c>
      <c r="B172" s="472" t="s">
        <v>641</v>
      </c>
      <c r="C172" s="473">
        <v>0</v>
      </c>
    </row>
    <row r="173" spans="1:3" x14ac:dyDescent="0.2">
      <c r="A173" s="104">
        <v>19</v>
      </c>
      <c r="B173" s="102" t="s">
        <v>642</v>
      </c>
      <c r="C173" s="102" t="s">
        <v>643</v>
      </c>
    </row>
    <row r="174" spans="1:3" ht="15" x14ac:dyDescent="0.25">
      <c r="B174" s="467" t="s">
        <v>644</v>
      </c>
      <c r="C174" s="467">
        <f>+A164</f>
        <v>10</v>
      </c>
    </row>
    <row r="175" spans="1:3" x14ac:dyDescent="0.2">
      <c r="B175" s="102" t="s">
        <v>645</v>
      </c>
    </row>
    <row r="177" spans="1:4" ht="15" x14ac:dyDescent="0.25">
      <c r="B177" s="467" t="s">
        <v>646</v>
      </c>
    </row>
    <row r="178" spans="1:4" ht="15" x14ac:dyDescent="0.25">
      <c r="B178" s="467" t="s">
        <v>647</v>
      </c>
      <c r="C178" s="467" t="s">
        <v>648</v>
      </c>
      <c r="D178" s="467" t="s">
        <v>649</v>
      </c>
    </row>
    <row r="179" spans="1:4" x14ac:dyDescent="0.2">
      <c r="A179" s="104">
        <v>1</v>
      </c>
      <c r="B179" s="474" t="s">
        <v>624</v>
      </c>
      <c r="C179" s="475">
        <v>77815</v>
      </c>
      <c r="D179" s="692" t="s">
        <v>650</v>
      </c>
    </row>
    <row r="180" spans="1:4" x14ac:dyDescent="0.2">
      <c r="A180" s="104">
        <v>2</v>
      </c>
      <c r="B180" s="474" t="s">
        <v>625</v>
      </c>
      <c r="C180" s="475">
        <v>14344</v>
      </c>
      <c r="D180" s="693"/>
    </row>
    <row r="181" spans="1:4" x14ac:dyDescent="0.2">
      <c r="A181" s="104">
        <v>3</v>
      </c>
      <c r="B181" s="474" t="s">
        <v>631</v>
      </c>
      <c r="C181" s="475">
        <v>57587</v>
      </c>
      <c r="D181" s="694"/>
    </row>
    <row r="182" spans="1:4" x14ac:dyDescent="0.2">
      <c r="A182" s="104">
        <v>4</v>
      </c>
      <c r="B182" s="474" t="s">
        <v>626</v>
      </c>
      <c r="C182" s="475">
        <v>20675</v>
      </c>
      <c r="D182" s="695" t="s">
        <v>651</v>
      </c>
    </row>
    <row r="183" spans="1:4" x14ac:dyDescent="0.2">
      <c r="A183" s="104">
        <v>5</v>
      </c>
      <c r="B183" s="474" t="s">
        <v>632</v>
      </c>
      <c r="C183" s="475">
        <v>39113</v>
      </c>
      <c r="D183" s="696"/>
    </row>
    <row r="184" spans="1:4" x14ac:dyDescent="0.2">
      <c r="A184" s="104">
        <v>6</v>
      </c>
      <c r="B184" s="474" t="s">
        <v>627</v>
      </c>
      <c r="C184" s="475">
        <v>277455</v>
      </c>
      <c r="D184" s="697"/>
    </row>
    <row r="185" spans="1:4" x14ac:dyDescent="0.2">
      <c r="A185" s="104">
        <v>7</v>
      </c>
      <c r="B185" s="474" t="s">
        <v>633</v>
      </c>
      <c r="C185" s="475">
        <v>98649</v>
      </c>
      <c r="D185" s="698" t="s">
        <v>652</v>
      </c>
    </row>
    <row r="186" spans="1:4" x14ac:dyDescent="0.2">
      <c r="A186" s="104">
        <v>8</v>
      </c>
      <c r="B186" s="474" t="s">
        <v>630</v>
      </c>
      <c r="C186" s="475">
        <v>239032</v>
      </c>
      <c r="D186" s="699"/>
    </row>
    <row r="187" spans="1:4" x14ac:dyDescent="0.2">
      <c r="A187" s="104">
        <v>9</v>
      </c>
      <c r="B187" s="474" t="s">
        <v>628</v>
      </c>
      <c r="C187" s="475">
        <v>152479</v>
      </c>
      <c r="D187" s="700" t="s">
        <v>653</v>
      </c>
    </row>
    <row r="188" spans="1:4" x14ac:dyDescent="0.2">
      <c r="A188" s="104">
        <v>10</v>
      </c>
      <c r="B188" s="474" t="s">
        <v>629</v>
      </c>
      <c r="C188" s="475">
        <v>117860</v>
      </c>
      <c r="D188" s="700"/>
    </row>
    <row r="189" spans="1:4" ht="15" x14ac:dyDescent="0.25">
      <c r="B189" s="467" t="s">
        <v>654</v>
      </c>
      <c r="D189" s="467">
        <v>4</v>
      </c>
    </row>
    <row r="190" spans="1:4" s="103" customFormat="1" ht="15" x14ac:dyDescent="0.25">
      <c r="B190" s="50" t="s">
        <v>655</v>
      </c>
      <c r="D190" s="50"/>
    </row>
    <row r="192" spans="1:4" ht="15" x14ac:dyDescent="0.25">
      <c r="B192" s="467" t="s">
        <v>656</v>
      </c>
    </row>
    <row r="193" spans="1:3" x14ac:dyDescent="0.2">
      <c r="A193" s="476">
        <v>1</v>
      </c>
      <c r="B193" s="476" t="s">
        <v>657</v>
      </c>
      <c r="C193" s="476" t="s">
        <v>643</v>
      </c>
    </row>
    <row r="194" spans="1:3" x14ac:dyDescent="0.2">
      <c r="A194" s="476">
        <v>2</v>
      </c>
      <c r="B194" s="476" t="s">
        <v>641</v>
      </c>
      <c r="C194" s="477">
        <v>1</v>
      </c>
    </row>
    <row r="195" spans="1:3" ht="15" customHeight="1" x14ac:dyDescent="0.2">
      <c r="A195" s="476">
        <v>3</v>
      </c>
      <c r="B195" s="476" t="s">
        <v>640</v>
      </c>
      <c r="C195" s="477">
        <v>0.99</v>
      </c>
    </row>
    <row r="196" spans="1:3" x14ac:dyDescent="0.2">
      <c r="A196" s="476">
        <v>4</v>
      </c>
      <c r="B196" s="476" t="s">
        <v>639</v>
      </c>
      <c r="C196" s="477">
        <v>0.91</v>
      </c>
    </row>
    <row r="197" spans="1:3" x14ac:dyDescent="0.2">
      <c r="A197" s="476">
        <v>5</v>
      </c>
      <c r="B197" s="476" t="s">
        <v>638</v>
      </c>
      <c r="C197" s="477">
        <v>0.88</v>
      </c>
    </row>
    <row r="198" spans="1:3" x14ac:dyDescent="0.2">
      <c r="A198" s="476">
        <v>6</v>
      </c>
      <c r="B198" s="476" t="s">
        <v>637</v>
      </c>
      <c r="C198" s="477">
        <v>0.86</v>
      </c>
    </row>
    <row r="199" spans="1:3" x14ac:dyDescent="0.2">
      <c r="A199" s="476">
        <v>7</v>
      </c>
      <c r="B199" s="476" t="s">
        <v>636</v>
      </c>
      <c r="C199" s="477">
        <v>0.85</v>
      </c>
    </row>
    <row r="200" spans="1:3" x14ac:dyDescent="0.2">
      <c r="A200" s="476">
        <v>8</v>
      </c>
      <c r="B200" s="476" t="s">
        <v>635</v>
      </c>
      <c r="C200" s="477">
        <v>0.82</v>
      </c>
    </row>
    <row r="201" spans="1:3" x14ac:dyDescent="0.2">
      <c r="A201" s="476">
        <v>9</v>
      </c>
      <c r="B201" s="476" t="s">
        <v>634</v>
      </c>
      <c r="C201" s="477">
        <v>0.85</v>
      </c>
    </row>
    <row r="202" spans="1:3" x14ac:dyDescent="0.2">
      <c r="A202" s="476">
        <v>10</v>
      </c>
      <c r="B202" s="476" t="s">
        <v>633</v>
      </c>
      <c r="C202" s="477">
        <v>0.69</v>
      </c>
    </row>
    <row r="203" spans="1:3" x14ac:dyDescent="0.2">
      <c r="A203" s="476">
        <v>11</v>
      </c>
      <c r="B203" s="476" t="s">
        <v>632</v>
      </c>
      <c r="C203" s="477">
        <v>0.56000000000000005</v>
      </c>
    </row>
    <row r="204" spans="1:3" x14ac:dyDescent="0.2">
      <c r="A204" s="476">
        <v>12</v>
      </c>
      <c r="B204" s="476" t="s">
        <v>631</v>
      </c>
      <c r="C204" s="477">
        <v>0.51</v>
      </c>
    </row>
    <row r="205" spans="1:3" x14ac:dyDescent="0.2">
      <c r="A205" s="476">
        <v>13</v>
      </c>
      <c r="B205" s="476" t="s">
        <v>630</v>
      </c>
      <c r="C205" s="477">
        <v>0.51</v>
      </c>
    </row>
    <row r="206" spans="1:3" x14ac:dyDescent="0.2">
      <c r="A206" s="476">
        <v>14</v>
      </c>
      <c r="B206" s="476" t="s">
        <v>629</v>
      </c>
      <c r="C206" s="477">
        <v>0.14000000000000001</v>
      </c>
    </row>
    <row r="207" spans="1:3" x14ac:dyDescent="0.2">
      <c r="A207" s="476">
        <v>15</v>
      </c>
      <c r="B207" s="476" t="s">
        <v>628</v>
      </c>
      <c r="C207" s="477">
        <v>7.0000000000000007E-2</v>
      </c>
    </row>
    <row r="208" spans="1:3" x14ac:dyDescent="0.2">
      <c r="A208" s="104">
        <v>16</v>
      </c>
      <c r="B208" s="49" t="s">
        <v>627</v>
      </c>
      <c r="C208" s="478">
        <v>0.05</v>
      </c>
    </row>
    <row r="209" spans="1:6" x14ac:dyDescent="0.2">
      <c r="A209" s="104">
        <v>17</v>
      </c>
      <c r="B209" s="49" t="s">
        <v>626</v>
      </c>
      <c r="C209" s="478">
        <v>0.01</v>
      </c>
    </row>
    <row r="210" spans="1:6" x14ac:dyDescent="0.2">
      <c r="A210" s="104">
        <v>18</v>
      </c>
      <c r="B210" s="49" t="s">
        <v>625</v>
      </c>
      <c r="C210" s="478"/>
    </row>
    <row r="211" spans="1:6" x14ac:dyDescent="0.2">
      <c r="A211" s="104">
        <v>19</v>
      </c>
      <c r="B211" s="49" t="s">
        <v>624</v>
      </c>
      <c r="C211" s="478"/>
    </row>
    <row r="212" spans="1:6" ht="15" x14ac:dyDescent="0.25">
      <c r="B212" s="467" t="s">
        <v>658</v>
      </c>
      <c r="C212" s="467">
        <f>A207</f>
        <v>15</v>
      </c>
    </row>
    <row r="213" spans="1:6" x14ac:dyDescent="0.2">
      <c r="B213" s="102" t="s">
        <v>645</v>
      </c>
    </row>
    <row r="215" spans="1:6" ht="15" x14ac:dyDescent="0.25">
      <c r="B215" s="479" t="s">
        <v>659</v>
      </c>
      <c r="D215" s="424"/>
      <c r="F215" s="431"/>
    </row>
    <row r="216" spans="1:6" x14ac:dyDescent="0.2">
      <c r="B216" s="105" t="s">
        <v>660</v>
      </c>
      <c r="C216" s="480">
        <f>C229</f>
        <v>500000</v>
      </c>
      <c r="E216" s="44"/>
      <c r="F216" s="431"/>
    </row>
    <row r="217" spans="1:6" x14ac:dyDescent="0.2">
      <c r="B217" s="104" t="str">
        <f>B232</f>
        <v>b. Talleres y/ o eventos de divulgación nacionales y/o regionales (Productor, transformador, comercialización)</v>
      </c>
      <c r="C217" s="45">
        <f>C238</f>
        <v>2300000</v>
      </c>
      <c r="E217" s="44"/>
      <c r="F217" s="431"/>
    </row>
    <row r="218" spans="1:6" x14ac:dyDescent="0.2">
      <c r="B218" s="105" t="str">
        <f>B247</f>
        <v>c. Escuelas, dias de campo, giras técnicas,  y/ o visitas,  (Productor, transformador, comercialización)</v>
      </c>
      <c r="C218" s="480">
        <f>C254</f>
        <v>3270000</v>
      </c>
      <c r="E218" s="44"/>
      <c r="F218" s="431"/>
    </row>
    <row r="219" spans="1:6" x14ac:dyDescent="0.2">
      <c r="B219" s="105" t="str">
        <f>B258</f>
        <v xml:space="preserve">d. Parcelas demostrativas o lotes modelos </v>
      </c>
      <c r="C219" s="480">
        <f>C264</f>
        <v>5170000</v>
      </c>
      <c r="E219" s="44"/>
      <c r="F219" s="431"/>
    </row>
    <row r="220" spans="1:6" x14ac:dyDescent="0.2">
      <c r="B220" s="105" t="s">
        <v>661</v>
      </c>
      <c r="C220" s="480">
        <f>C216*20%</f>
        <v>100000</v>
      </c>
      <c r="E220" s="44"/>
      <c r="F220" s="431"/>
    </row>
    <row r="221" spans="1:6" x14ac:dyDescent="0.2">
      <c r="B221" s="105" t="s">
        <v>662</v>
      </c>
      <c r="C221" s="480">
        <f>C217*20%</f>
        <v>460000</v>
      </c>
      <c r="E221" s="44"/>
      <c r="F221" s="431"/>
    </row>
    <row r="222" spans="1:6" hidden="1" x14ac:dyDescent="0.2">
      <c r="B222" s="104" t="s">
        <v>663</v>
      </c>
      <c r="C222" s="481" t="e">
        <f>#REF!*10%</f>
        <v>#REF!</v>
      </c>
      <c r="E222" s="44"/>
      <c r="F222" s="431"/>
    </row>
    <row r="223" spans="1:6" x14ac:dyDescent="0.2">
      <c r="B223" s="102" t="s">
        <v>664</v>
      </c>
      <c r="E223" s="44"/>
      <c r="F223" s="431"/>
    </row>
    <row r="224" spans="1:6" x14ac:dyDescent="0.2">
      <c r="E224" s="44"/>
      <c r="F224" s="431"/>
    </row>
    <row r="226" spans="2:3" ht="27" customHeight="1" x14ac:dyDescent="0.25">
      <c r="B226" s="467" t="s">
        <v>660</v>
      </c>
      <c r="C226" s="40" t="s">
        <v>665</v>
      </c>
    </row>
    <row r="227" spans="2:3" x14ac:dyDescent="0.2">
      <c r="B227" s="104" t="s">
        <v>666</v>
      </c>
      <c r="C227" s="481">
        <f>15000*20</f>
        <v>300000</v>
      </c>
    </row>
    <row r="228" spans="2:3" x14ac:dyDescent="0.2">
      <c r="B228" s="104" t="s">
        <v>667</v>
      </c>
      <c r="C228" s="481">
        <v>200000</v>
      </c>
    </row>
    <row r="229" spans="2:3" ht="15" x14ac:dyDescent="0.25">
      <c r="B229" s="482" t="s">
        <v>668</v>
      </c>
      <c r="C229" s="483">
        <f>C227+C228</f>
        <v>500000</v>
      </c>
    </row>
    <row r="232" spans="2:3" ht="39" customHeight="1" x14ac:dyDescent="0.25">
      <c r="B232" s="484" t="s">
        <v>669</v>
      </c>
      <c r="C232" s="467" t="s">
        <v>670</v>
      </c>
    </row>
    <row r="233" spans="2:3" x14ac:dyDescent="0.2">
      <c r="B233" s="104" t="s">
        <v>671</v>
      </c>
      <c r="C233" s="481">
        <v>500000</v>
      </c>
    </row>
    <row r="234" spans="2:3" x14ac:dyDescent="0.2">
      <c r="B234" s="104" t="s">
        <v>666</v>
      </c>
      <c r="C234" s="481">
        <f>15000*40</f>
        <v>600000</v>
      </c>
    </row>
    <row r="235" spans="2:3" x14ac:dyDescent="0.2">
      <c r="B235" s="315" t="s">
        <v>672</v>
      </c>
      <c r="C235" s="481">
        <f>2500*40</f>
        <v>100000</v>
      </c>
    </row>
    <row r="236" spans="2:3" x14ac:dyDescent="0.2">
      <c r="B236" s="104" t="s">
        <v>673</v>
      </c>
      <c r="C236" s="481">
        <f>25000*40</f>
        <v>1000000</v>
      </c>
    </row>
    <row r="237" spans="2:3" x14ac:dyDescent="0.2">
      <c r="B237" s="104" t="s">
        <v>674</v>
      </c>
      <c r="C237" s="481">
        <v>100000</v>
      </c>
    </row>
    <row r="238" spans="2:3" ht="15" x14ac:dyDescent="0.25">
      <c r="B238" s="467" t="s">
        <v>675</v>
      </c>
      <c r="C238" s="483">
        <f>SUM(C233:C237)</f>
        <v>2300000</v>
      </c>
    </row>
    <row r="239" spans="2:3" x14ac:dyDescent="0.2">
      <c r="B239" s="104" t="s">
        <v>676</v>
      </c>
      <c r="C239" s="481"/>
    </row>
    <row r="241" spans="2:3" ht="15" hidden="1" x14ac:dyDescent="0.25">
      <c r="B241" s="467" t="s">
        <v>677</v>
      </c>
      <c r="C241" s="40" t="s">
        <v>665</v>
      </c>
    </row>
    <row r="242" spans="2:3" hidden="1" x14ac:dyDescent="0.2">
      <c r="B242" s="104" t="s">
        <v>666</v>
      </c>
      <c r="C242" s="481">
        <v>500000</v>
      </c>
    </row>
    <row r="243" spans="2:3" hidden="1" x14ac:dyDescent="0.2">
      <c r="B243" s="315" t="s">
        <v>671</v>
      </c>
      <c r="C243" s="481">
        <v>500000</v>
      </c>
    </row>
    <row r="244" spans="2:3" ht="15" hidden="1" x14ac:dyDescent="0.25">
      <c r="B244" s="482" t="s">
        <v>668</v>
      </c>
      <c r="C244" s="483">
        <f>SUM(C242:C243)</f>
        <v>1000000</v>
      </c>
    </row>
    <row r="245" spans="2:3" hidden="1" x14ac:dyDescent="0.2">
      <c r="B245" s="104" t="s">
        <v>678</v>
      </c>
    </row>
    <row r="247" spans="2:3" ht="30" x14ac:dyDescent="0.25">
      <c r="B247" s="484" t="s">
        <v>679</v>
      </c>
      <c r="C247" s="467" t="s">
        <v>680</v>
      </c>
    </row>
    <row r="248" spans="2:3" x14ac:dyDescent="0.2">
      <c r="B248" s="481" t="s">
        <v>681</v>
      </c>
      <c r="C248" s="481">
        <f>20000*20</f>
        <v>400000</v>
      </c>
    </row>
    <row r="249" spans="2:3" x14ac:dyDescent="0.2">
      <c r="B249" s="481" t="s">
        <v>682</v>
      </c>
      <c r="C249" s="481">
        <f>25000*20</f>
        <v>500000</v>
      </c>
    </row>
    <row r="250" spans="2:3" x14ac:dyDescent="0.2">
      <c r="B250" s="104" t="s">
        <v>683</v>
      </c>
      <c r="C250" s="481">
        <f>25000*20</f>
        <v>500000</v>
      </c>
    </row>
    <row r="251" spans="2:3" x14ac:dyDescent="0.2">
      <c r="B251" s="104" t="s">
        <v>684</v>
      </c>
      <c r="C251" s="481">
        <f>C123*2</f>
        <v>770000</v>
      </c>
    </row>
    <row r="252" spans="2:3" x14ac:dyDescent="0.2">
      <c r="B252" s="104" t="s">
        <v>685</v>
      </c>
      <c r="C252" s="481">
        <v>100000</v>
      </c>
    </row>
    <row r="253" spans="2:3" x14ac:dyDescent="0.2">
      <c r="B253" s="104" t="s">
        <v>686</v>
      </c>
      <c r="C253" s="481">
        <f>50000*20</f>
        <v>1000000</v>
      </c>
    </row>
    <row r="254" spans="2:3" ht="15" x14ac:dyDescent="0.25">
      <c r="B254" s="467" t="s">
        <v>33</v>
      </c>
      <c r="C254" s="483">
        <f>SUM(C248:C253)</f>
        <v>3270000</v>
      </c>
    </row>
    <row r="255" spans="2:3" x14ac:dyDescent="0.2">
      <c r="B255" s="102" t="s">
        <v>687</v>
      </c>
    </row>
    <row r="256" spans="2:3" x14ac:dyDescent="0.2">
      <c r="B256" s="102" t="s">
        <v>688</v>
      </c>
    </row>
    <row r="258" spans="2:4" ht="15" x14ac:dyDescent="0.25">
      <c r="B258" s="467" t="s">
        <v>689</v>
      </c>
      <c r="C258" s="467" t="s">
        <v>690</v>
      </c>
    </row>
    <row r="259" spans="2:4" x14ac:dyDescent="0.2">
      <c r="B259" s="481" t="s">
        <v>691</v>
      </c>
      <c r="C259" s="481">
        <f>(900000*1.5)</f>
        <v>1350000</v>
      </c>
      <c r="D259" s="53"/>
    </row>
    <row r="260" spans="2:4" x14ac:dyDescent="0.2">
      <c r="B260" s="104" t="s">
        <v>692</v>
      </c>
      <c r="C260" s="54">
        <f>150000*20</f>
        <v>3000000</v>
      </c>
    </row>
    <row r="261" spans="2:4" x14ac:dyDescent="0.2">
      <c r="B261" s="104" t="s">
        <v>693</v>
      </c>
      <c r="C261" s="54">
        <f>80000*4</f>
        <v>320000</v>
      </c>
    </row>
    <row r="262" spans="2:4" x14ac:dyDescent="0.2">
      <c r="B262" s="481" t="s">
        <v>694</v>
      </c>
      <c r="C262" s="54">
        <f>40000*5</f>
        <v>200000</v>
      </c>
    </row>
    <row r="263" spans="2:4" x14ac:dyDescent="0.2">
      <c r="B263" s="104" t="s">
        <v>695</v>
      </c>
      <c r="C263" s="481">
        <f>2*150000</f>
        <v>300000</v>
      </c>
    </row>
    <row r="264" spans="2:4" ht="15" x14ac:dyDescent="0.25">
      <c r="B264" s="467" t="s">
        <v>33</v>
      </c>
      <c r="C264" s="483">
        <f>SUM(C259:C263)</f>
        <v>5170000</v>
      </c>
    </row>
    <row r="266" spans="2:4" ht="15" hidden="1" x14ac:dyDescent="0.25">
      <c r="B266" s="688" t="s">
        <v>696</v>
      </c>
      <c r="C266" s="689"/>
    </row>
    <row r="267" spans="2:4" hidden="1" x14ac:dyDescent="0.2">
      <c r="B267" s="485" t="s">
        <v>697</v>
      </c>
      <c r="C267" s="486">
        <f>50000*25</f>
        <v>1250000</v>
      </c>
    </row>
    <row r="268" spans="2:4" hidden="1" x14ac:dyDescent="0.2">
      <c r="B268" s="486" t="s">
        <v>666</v>
      </c>
      <c r="C268" s="486">
        <f>15000*25</f>
        <v>375000</v>
      </c>
    </row>
    <row r="269" spans="2:4" hidden="1" x14ac:dyDescent="0.2">
      <c r="B269" s="47" t="s">
        <v>682</v>
      </c>
      <c r="C269" s="486">
        <f>25000*25</f>
        <v>625000</v>
      </c>
    </row>
    <row r="270" spans="2:4" hidden="1" x14ac:dyDescent="0.2">
      <c r="B270" s="481" t="s">
        <v>698</v>
      </c>
      <c r="C270" s="486">
        <v>600000</v>
      </c>
    </row>
    <row r="271" spans="2:4" hidden="1" x14ac:dyDescent="0.2">
      <c r="B271" s="486" t="s">
        <v>699</v>
      </c>
      <c r="C271" s="486">
        <f>30*40000</f>
        <v>1200000</v>
      </c>
    </row>
    <row r="272" spans="2:4" hidden="1" x14ac:dyDescent="0.2">
      <c r="B272" s="104" t="s">
        <v>700</v>
      </c>
      <c r="C272" s="481">
        <v>250000</v>
      </c>
    </row>
    <row r="273" spans="1:6" hidden="1" x14ac:dyDescent="0.2">
      <c r="B273" s="104" t="s">
        <v>701</v>
      </c>
      <c r="C273" s="481">
        <v>300000</v>
      </c>
    </row>
    <row r="274" spans="1:6" ht="15" hidden="1" x14ac:dyDescent="0.25">
      <c r="B274" s="487" t="s">
        <v>668</v>
      </c>
      <c r="C274" s="487">
        <f>SUM(C267:C273)</f>
        <v>4600000</v>
      </c>
    </row>
    <row r="275" spans="1:6" hidden="1" x14ac:dyDescent="0.2"/>
    <row r="277" spans="1:6" ht="15" x14ac:dyDescent="0.25">
      <c r="B277" s="488" t="s">
        <v>702</v>
      </c>
      <c r="D277" s="40"/>
      <c r="F277" s="431"/>
    </row>
    <row r="278" spans="1:6" ht="15" x14ac:dyDescent="0.25">
      <c r="B278" s="489" t="s">
        <v>703</v>
      </c>
      <c r="C278" s="490" t="s">
        <v>704</v>
      </c>
      <c r="D278" s="490" t="s">
        <v>705</v>
      </c>
      <c r="F278" s="431"/>
    </row>
    <row r="279" spans="1:6" x14ac:dyDescent="0.2">
      <c r="B279" s="430">
        <v>2021</v>
      </c>
      <c r="C279" s="104">
        <v>3743.09</v>
      </c>
      <c r="D279" s="104">
        <v>4419.5600000000004</v>
      </c>
    </row>
    <row r="280" spans="1:6" x14ac:dyDescent="0.2">
      <c r="B280" s="430">
        <v>2020</v>
      </c>
      <c r="C280" s="104">
        <v>3693.36</v>
      </c>
      <c r="D280" s="104">
        <v>4214.03</v>
      </c>
    </row>
    <row r="281" spans="1:6" ht="15" x14ac:dyDescent="0.25">
      <c r="B281" s="491" t="s">
        <v>706</v>
      </c>
      <c r="C281" s="492">
        <f>AVERAGE(C279:C280)</f>
        <v>3718.2250000000004</v>
      </c>
      <c r="D281" s="492">
        <f>AVERAGE(D279:D280)</f>
        <v>4316.7950000000001</v>
      </c>
    </row>
    <row r="282" spans="1:6" ht="15" x14ac:dyDescent="0.25">
      <c r="B282" s="701" t="s">
        <v>707</v>
      </c>
      <c r="C282" s="702"/>
      <c r="D282" s="702"/>
    </row>
    <row r="284" spans="1:6" ht="15" x14ac:dyDescent="0.25">
      <c r="B284" s="488" t="s">
        <v>708</v>
      </c>
      <c r="C284" s="493"/>
      <c r="D284" s="493"/>
    </row>
    <row r="285" spans="1:6" ht="15" x14ac:dyDescent="0.2">
      <c r="A285" s="40"/>
      <c r="B285" s="494" t="s">
        <v>709</v>
      </c>
      <c r="C285" s="495" t="s">
        <v>55</v>
      </c>
      <c r="D285" s="424"/>
    </row>
    <row r="286" spans="1:6" x14ac:dyDescent="0.2">
      <c r="A286" s="40"/>
      <c r="B286" s="104" t="s">
        <v>710</v>
      </c>
      <c r="C286" s="496">
        <f>C307</f>
        <v>9200000</v>
      </c>
      <c r="D286" s="424"/>
    </row>
    <row r="287" spans="1:6" ht="15" customHeight="1" x14ac:dyDescent="0.2">
      <c r="A287" s="40"/>
      <c r="B287" s="104" t="s">
        <v>711</v>
      </c>
      <c r="C287" s="496">
        <f>C315</f>
        <v>150000</v>
      </c>
      <c r="D287" s="424"/>
    </row>
    <row r="288" spans="1:6" x14ac:dyDescent="0.2">
      <c r="A288" s="40"/>
      <c r="B288" s="104" t="s">
        <v>712</v>
      </c>
      <c r="C288" s="496">
        <f>C319</f>
        <v>15000000</v>
      </c>
      <c r="D288" s="424"/>
    </row>
    <row r="289" spans="1:8" x14ac:dyDescent="0.2">
      <c r="A289" s="40"/>
      <c r="B289" s="104" t="s">
        <v>713</v>
      </c>
      <c r="C289" s="496">
        <f>C320</f>
        <v>8000000</v>
      </c>
      <c r="D289" s="424"/>
    </row>
    <row r="290" spans="1:8" ht="14.25" customHeight="1" x14ac:dyDescent="0.2">
      <c r="A290" s="40"/>
      <c r="B290" s="49" t="s">
        <v>714</v>
      </c>
      <c r="C290" s="497">
        <v>20000000</v>
      </c>
      <c r="D290" s="424"/>
    </row>
    <row r="291" spans="1:8" x14ac:dyDescent="0.2">
      <c r="A291" s="40"/>
      <c r="B291" s="49" t="s">
        <v>715</v>
      </c>
      <c r="C291" s="497">
        <f>C325</f>
        <v>4000000</v>
      </c>
      <c r="D291" s="424"/>
    </row>
    <row r="292" spans="1:8" x14ac:dyDescent="0.2">
      <c r="A292" s="40"/>
      <c r="B292" s="49" t="s">
        <v>716</v>
      </c>
      <c r="C292" s="498">
        <f>C329</f>
        <v>1000000</v>
      </c>
      <c r="D292" s="424"/>
    </row>
    <row r="293" spans="1:8" x14ac:dyDescent="0.2">
      <c r="A293" s="40"/>
      <c r="B293" s="49" t="s">
        <v>717</v>
      </c>
      <c r="C293" s="429">
        <f>E339</f>
        <v>217000000</v>
      </c>
      <c r="D293" s="424"/>
    </row>
    <row r="294" spans="1:8" x14ac:dyDescent="0.2">
      <c r="A294" s="40"/>
      <c r="B294" s="49" t="s">
        <v>718</v>
      </c>
      <c r="C294" s="496">
        <f>E349</f>
        <v>125500000</v>
      </c>
      <c r="D294" s="424"/>
    </row>
    <row r="295" spans="1:8" x14ac:dyDescent="0.2">
      <c r="A295" s="40"/>
      <c r="B295" s="104" t="s">
        <v>719</v>
      </c>
      <c r="C295" s="496">
        <f>E361</f>
        <v>142800000</v>
      </c>
      <c r="D295" s="424"/>
    </row>
    <row r="296" spans="1:8" x14ac:dyDescent="0.2">
      <c r="A296" s="40"/>
      <c r="B296" s="49" t="s">
        <v>720</v>
      </c>
      <c r="C296" s="499">
        <f>C377</f>
        <v>3500000</v>
      </c>
      <c r="D296" s="424"/>
    </row>
    <row r="297" spans="1:8" x14ac:dyDescent="0.2">
      <c r="A297" s="40"/>
      <c r="B297" s="49" t="s">
        <v>721</v>
      </c>
      <c r="C297" s="496">
        <f>C378</f>
        <v>1500000</v>
      </c>
      <c r="D297" s="424"/>
    </row>
    <row r="298" spans="1:8" x14ac:dyDescent="0.2">
      <c r="A298" s="40"/>
      <c r="B298" s="104" t="str">
        <f>B382</f>
        <v>m. Plan de Medios radial Nacional</v>
      </c>
      <c r="C298" s="496">
        <f>E386</f>
        <v>83600000</v>
      </c>
      <c r="D298" s="424"/>
    </row>
    <row r="299" spans="1:8" ht="12.95" customHeight="1" x14ac:dyDescent="0.2">
      <c r="A299" s="40"/>
      <c r="B299" s="104" t="str">
        <f>B388</f>
        <v>n. Plan de Medios radial regional</v>
      </c>
      <c r="C299" s="496">
        <f>E392</f>
        <v>14500000</v>
      </c>
      <c r="D299" s="424"/>
    </row>
    <row r="300" spans="1:8" x14ac:dyDescent="0.2">
      <c r="D300" s="424"/>
    </row>
    <row r="301" spans="1:8" x14ac:dyDescent="0.2">
      <c r="D301" s="424"/>
      <c r="E301" s="42"/>
      <c r="F301" s="42"/>
      <c r="G301" s="42"/>
      <c r="H301" s="42"/>
    </row>
    <row r="302" spans="1:8" ht="15" x14ac:dyDescent="0.25">
      <c r="B302" s="500" t="s">
        <v>722</v>
      </c>
      <c r="C302" s="501"/>
      <c r="D302" s="424"/>
      <c r="E302" s="424"/>
      <c r="F302" s="424"/>
      <c r="G302" s="424"/>
      <c r="H302" s="424"/>
    </row>
    <row r="303" spans="1:8" ht="15" x14ac:dyDescent="0.25">
      <c r="B303" s="502"/>
      <c r="C303" s="502" t="s">
        <v>55</v>
      </c>
      <c r="D303" s="424"/>
      <c r="E303" s="424"/>
      <c r="F303" s="424"/>
      <c r="G303" s="424"/>
      <c r="H303" s="424"/>
    </row>
    <row r="304" spans="1:8" x14ac:dyDescent="0.2">
      <c r="B304" s="104" t="s">
        <v>723</v>
      </c>
      <c r="C304" s="481">
        <v>5900000</v>
      </c>
      <c r="D304" s="424"/>
      <c r="E304" s="424"/>
      <c r="F304" s="424"/>
      <c r="G304" s="424"/>
      <c r="H304" s="424"/>
    </row>
    <row r="305" spans="2:8" x14ac:dyDescent="0.2">
      <c r="B305" s="104" t="s">
        <v>724</v>
      </c>
      <c r="C305" s="481">
        <v>15400000</v>
      </c>
      <c r="D305" s="424"/>
      <c r="E305" s="424"/>
      <c r="F305" s="424"/>
      <c r="G305" s="424"/>
      <c r="H305" s="424"/>
    </row>
    <row r="306" spans="2:8" x14ac:dyDescent="0.2">
      <c r="B306" s="104" t="s">
        <v>725</v>
      </c>
      <c r="C306" s="481">
        <v>6300000</v>
      </c>
      <c r="D306" s="424"/>
      <c r="E306" s="424"/>
      <c r="F306" s="424"/>
      <c r="G306" s="424"/>
      <c r="H306" s="424"/>
    </row>
    <row r="307" spans="2:8" ht="15" x14ac:dyDescent="0.25">
      <c r="B307" s="423" t="s">
        <v>58</v>
      </c>
      <c r="C307" s="503">
        <f>AVERAGE(C304:C306)</f>
        <v>9200000</v>
      </c>
      <c r="D307" s="424"/>
      <c r="E307" s="424"/>
      <c r="F307" s="424"/>
      <c r="G307" s="424"/>
      <c r="H307" s="424"/>
    </row>
    <row r="308" spans="2:8" x14ac:dyDescent="0.2">
      <c r="B308" s="102" t="s">
        <v>726</v>
      </c>
      <c r="C308" s="431"/>
      <c r="H308" s="42"/>
    </row>
    <row r="309" spans="2:8" x14ac:dyDescent="0.2">
      <c r="D309" s="424"/>
      <c r="E309" s="42"/>
      <c r="F309" s="42"/>
      <c r="G309" s="42"/>
      <c r="H309" s="42"/>
    </row>
    <row r="310" spans="2:8" x14ac:dyDescent="0.2">
      <c r="C310" s="431"/>
      <c r="F310" s="42"/>
      <c r="G310" s="42"/>
      <c r="H310" s="42"/>
    </row>
    <row r="311" spans="2:8" ht="15" x14ac:dyDescent="0.25">
      <c r="B311" s="703" t="s">
        <v>727</v>
      </c>
      <c r="C311" s="703"/>
      <c r="D311" s="424"/>
      <c r="E311" s="424"/>
      <c r="F311" s="424"/>
      <c r="G311" s="42"/>
      <c r="H311" s="42"/>
    </row>
    <row r="312" spans="2:8" ht="15" x14ac:dyDescent="0.25">
      <c r="B312" s="504" t="s">
        <v>728</v>
      </c>
      <c r="C312" s="504" t="s">
        <v>55</v>
      </c>
      <c r="D312" s="424"/>
      <c r="E312" s="424"/>
      <c r="F312" s="424"/>
    </row>
    <row r="313" spans="2:8" x14ac:dyDescent="0.2">
      <c r="B313" s="49" t="s">
        <v>729</v>
      </c>
      <c r="C313" s="499">
        <v>130000</v>
      </c>
      <c r="D313" s="424"/>
      <c r="E313" s="424"/>
      <c r="F313" s="424"/>
    </row>
    <row r="314" spans="2:8" x14ac:dyDescent="0.2">
      <c r="B314" s="104" t="s">
        <v>730</v>
      </c>
      <c r="C314" s="496">
        <v>170000</v>
      </c>
      <c r="D314" s="424"/>
      <c r="E314" s="424"/>
      <c r="F314" s="424"/>
    </row>
    <row r="315" spans="2:8" ht="15" x14ac:dyDescent="0.25">
      <c r="B315" s="423" t="s">
        <v>731</v>
      </c>
      <c r="C315" s="505">
        <f>AVERAGE(C313:C314)</f>
        <v>150000</v>
      </c>
      <c r="D315" s="424"/>
      <c r="E315" s="424"/>
      <c r="F315" s="424"/>
    </row>
    <row r="316" spans="2:8" x14ac:dyDescent="0.2">
      <c r="B316" s="102" t="s">
        <v>726</v>
      </c>
    </row>
    <row r="317" spans="2:8" x14ac:dyDescent="0.2">
      <c r="B317" s="42"/>
      <c r="C317" s="42"/>
      <c r="D317" s="42"/>
      <c r="E317" s="42"/>
    </row>
    <row r="318" spans="2:8" ht="15" x14ac:dyDescent="0.25">
      <c r="B318" s="506" t="s">
        <v>732</v>
      </c>
      <c r="C318" s="506" t="s">
        <v>55</v>
      </c>
      <c r="D318" s="42"/>
      <c r="E318" s="42"/>
    </row>
    <row r="319" spans="2:8" x14ac:dyDescent="0.2">
      <c r="B319" s="104" t="s">
        <v>733</v>
      </c>
      <c r="C319" s="507">
        <v>15000000</v>
      </c>
      <c r="D319" s="42"/>
      <c r="E319" s="42"/>
    </row>
    <row r="320" spans="2:8" x14ac:dyDescent="0.2">
      <c r="B320" s="104" t="s">
        <v>734</v>
      </c>
      <c r="C320" s="507">
        <v>8000000</v>
      </c>
      <c r="D320" s="42"/>
      <c r="E320" s="42"/>
    </row>
    <row r="321" spans="2:5" x14ac:dyDescent="0.2">
      <c r="B321" s="704" t="s">
        <v>735</v>
      </c>
      <c r="C321" s="704"/>
      <c r="D321" s="42"/>
      <c r="E321" s="42"/>
    </row>
    <row r="322" spans="2:5" x14ac:dyDescent="0.2">
      <c r="B322" s="508"/>
      <c r="C322" s="508"/>
      <c r="D322" s="42"/>
      <c r="E322" s="42"/>
    </row>
    <row r="323" spans="2:5" ht="15" x14ac:dyDescent="0.25">
      <c r="B323" s="506" t="s">
        <v>736</v>
      </c>
      <c r="C323" s="506" t="s">
        <v>55</v>
      </c>
      <c r="D323" s="42"/>
      <c r="E323" s="42"/>
    </row>
    <row r="324" spans="2:5" x14ac:dyDescent="0.2">
      <c r="B324" s="49" t="s">
        <v>714</v>
      </c>
      <c r="C324" s="509">
        <v>10000000</v>
      </c>
      <c r="D324" s="42"/>
      <c r="E324" s="42"/>
    </row>
    <row r="325" spans="2:5" x14ac:dyDescent="0.2">
      <c r="B325" s="49" t="s">
        <v>715</v>
      </c>
      <c r="C325" s="509">
        <v>4000000</v>
      </c>
      <c r="D325" s="42"/>
      <c r="E325" s="42"/>
    </row>
    <row r="326" spans="2:5" x14ac:dyDescent="0.2">
      <c r="B326" s="690" t="s">
        <v>737</v>
      </c>
      <c r="C326" s="690"/>
      <c r="D326" s="42"/>
      <c r="E326" s="42"/>
    </row>
    <row r="327" spans="2:5" x14ac:dyDescent="0.2">
      <c r="B327" s="510"/>
      <c r="C327" s="510"/>
      <c r="D327" s="42"/>
      <c r="E327" s="42"/>
    </row>
    <row r="328" spans="2:5" ht="15" x14ac:dyDescent="0.25">
      <c r="B328" s="506" t="s">
        <v>738</v>
      </c>
      <c r="C328" s="506" t="s">
        <v>55</v>
      </c>
      <c r="D328" s="42"/>
      <c r="E328" s="42"/>
    </row>
    <row r="329" spans="2:5" x14ac:dyDescent="0.2">
      <c r="B329" s="49" t="s">
        <v>716</v>
      </c>
      <c r="C329" s="509">
        <v>1000000</v>
      </c>
      <c r="D329" s="42"/>
      <c r="E329" s="42"/>
    </row>
    <row r="330" spans="2:5" x14ac:dyDescent="0.2">
      <c r="B330" s="508" t="s">
        <v>739</v>
      </c>
      <c r="C330" s="508"/>
      <c r="D330" s="42"/>
      <c r="E330" s="42"/>
    </row>
    <row r="331" spans="2:5" x14ac:dyDescent="0.2">
      <c r="B331" s="508"/>
      <c r="C331" s="508"/>
      <c r="D331" s="42"/>
      <c r="E331" s="42"/>
    </row>
    <row r="332" spans="2:5" ht="15" x14ac:dyDescent="0.25">
      <c r="B332" s="467" t="s">
        <v>740</v>
      </c>
      <c r="C332" s="511" t="s">
        <v>59</v>
      </c>
      <c r="D332" s="511" t="s">
        <v>55</v>
      </c>
      <c r="E332" s="511" t="s">
        <v>33</v>
      </c>
    </row>
    <row r="333" spans="2:5" x14ac:dyDescent="0.2">
      <c r="B333" s="481" t="s">
        <v>741</v>
      </c>
      <c r="C333" s="481">
        <v>4</v>
      </c>
      <c r="D333" s="481">
        <f>5000000</f>
        <v>5000000</v>
      </c>
      <c r="E333" s="481">
        <f t="shared" ref="E333:E338" si="0">C333*D333</f>
        <v>20000000</v>
      </c>
    </row>
    <row r="334" spans="2:5" x14ac:dyDescent="0.2">
      <c r="B334" s="481" t="s">
        <v>742</v>
      </c>
      <c r="C334" s="481">
        <v>2000</v>
      </c>
      <c r="D334" s="481">
        <v>500</v>
      </c>
      <c r="E334" s="481">
        <f t="shared" si="0"/>
        <v>1000000</v>
      </c>
    </row>
    <row r="335" spans="2:5" x14ac:dyDescent="0.2">
      <c r="B335" s="481" t="s">
        <v>743</v>
      </c>
      <c r="C335" s="481">
        <v>5</v>
      </c>
      <c r="D335" s="481">
        <f>C286</f>
        <v>9200000</v>
      </c>
      <c r="E335" s="481">
        <f t="shared" si="0"/>
        <v>46000000</v>
      </c>
    </row>
    <row r="336" spans="2:5" x14ac:dyDescent="0.2">
      <c r="B336" s="481" t="s">
        <v>744</v>
      </c>
      <c r="C336" s="481">
        <v>2</v>
      </c>
      <c r="D336" s="481">
        <f>C290</f>
        <v>20000000</v>
      </c>
      <c r="E336" s="481">
        <f t="shared" si="0"/>
        <v>40000000</v>
      </c>
    </row>
    <row r="337" spans="2:5" x14ac:dyDescent="0.2">
      <c r="B337" s="481" t="s">
        <v>60</v>
      </c>
      <c r="C337" s="481">
        <v>1</v>
      </c>
      <c r="D337" s="481">
        <v>50000000</v>
      </c>
      <c r="E337" s="481">
        <f t="shared" si="0"/>
        <v>50000000</v>
      </c>
    </row>
    <row r="338" spans="2:5" x14ac:dyDescent="0.2">
      <c r="B338" s="104" t="s">
        <v>732</v>
      </c>
      <c r="C338" s="481">
        <v>4</v>
      </c>
      <c r="D338" s="481">
        <f>C288</f>
        <v>15000000</v>
      </c>
      <c r="E338" s="481">
        <f t="shared" si="0"/>
        <v>60000000</v>
      </c>
    </row>
    <row r="339" spans="2:5" ht="15" x14ac:dyDescent="0.25">
      <c r="B339" s="512" t="s">
        <v>745</v>
      </c>
      <c r="C339" s="512"/>
      <c r="D339" s="512"/>
      <c r="E339" s="513">
        <f>SUM(E333:E338)</f>
        <v>217000000</v>
      </c>
    </row>
    <row r="340" spans="2:5" s="103" customFormat="1" ht="15" x14ac:dyDescent="0.25">
      <c r="B340" s="50" t="s">
        <v>746</v>
      </c>
      <c r="C340" s="50"/>
      <c r="D340" s="50"/>
      <c r="E340" s="514" t="s">
        <v>747</v>
      </c>
    </row>
    <row r="341" spans="2:5" x14ac:dyDescent="0.2">
      <c r="B341" s="508"/>
      <c r="C341" s="508"/>
      <c r="D341" s="42"/>
      <c r="E341" s="42"/>
    </row>
    <row r="342" spans="2:5" ht="15" x14ac:dyDescent="0.25">
      <c r="B342" s="467" t="s">
        <v>748</v>
      </c>
      <c r="C342" s="511" t="s">
        <v>59</v>
      </c>
      <c r="D342" s="511" t="s">
        <v>55</v>
      </c>
      <c r="E342" s="511" t="s">
        <v>33</v>
      </c>
    </row>
    <row r="343" spans="2:5" x14ac:dyDescent="0.2">
      <c r="B343" s="481" t="s">
        <v>741</v>
      </c>
      <c r="C343" s="481">
        <v>2</v>
      </c>
      <c r="D343" s="481">
        <v>5000000</v>
      </c>
      <c r="E343" s="481">
        <f t="shared" ref="E343:E348" si="1">C343*D343</f>
        <v>10000000</v>
      </c>
    </row>
    <row r="344" spans="2:5" x14ac:dyDescent="0.2">
      <c r="B344" s="481" t="s">
        <v>742</v>
      </c>
      <c r="C344" s="481">
        <v>10000</v>
      </c>
      <c r="D344" s="481">
        <v>500</v>
      </c>
      <c r="E344" s="481">
        <f t="shared" si="1"/>
        <v>5000000</v>
      </c>
    </row>
    <row r="345" spans="2:5" x14ac:dyDescent="0.2">
      <c r="B345" s="481" t="s">
        <v>749</v>
      </c>
      <c r="C345" s="481">
        <v>30</v>
      </c>
      <c r="D345" s="481">
        <f>C287</f>
        <v>150000</v>
      </c>
      <c r="E345" s="481">
        <f t="shared" si="1"/>
        <v>4500000</v>
      </c>
    </row>
    <row r="346" spans="2:5" x14ac:dyDescent="0.2">
      <c r="B346" s="481" t="s">
        <v>60</v>
      </c>
      <c r="C346" s="481">
        <v>4</v>
      </c>
      <c r="D346" s="481">
        <v>5000000</v>
      </c>
      <c r="E346" s="481">
        <f t="shared" si="1"/>
        <v>20000000</v>
      </c>
    </row>
    <row r="347" spans="2:5" x14ac:dyDescent="0.2">
      <c r="B347" s="481" t="s">
        <v>750</v>
      </c>
      <c r="C347" s="481">
        <v>12</v>
      </c>
      <c r="D347" s="481">
        <f>C291</f>
        <v>4000000</v>
      </c>
      <c r="E347" s="481">
        <f t="shared" si="1"/>
        <v>48000000</v>
      </c>
    </row>
    <row r="348" spans="2:5" x14ac:dyDescent="0.2">
      <c r="B348" s="104" t="s">
        <v>751</v>
      </c>
      <c r="C348" s="481">
        <v>6</v>
      </c>
      <c r="D348" s="46">
        <f>C289</f>
        <v>8000000</v>
      </c>
      <c r="E348" s="481">
        <f t="shared" si="1"/>
        <v>48000000</v>
      </c>
    </row>
    <row r="349" spans="2:5" ht="15" x14ac:dyDescent="0.25">
      <c r="B349" s="512" t="s">
        <v>752</v>
      </c>
      <c r="C349" s="512"/>
      <c r="D349" s="512"/>
      <c r="E349" s="513">
        <f>SUM(E344:E348)</f>
        <v>125500000</v>
      </c>
    </row>
    <row r="350" spans="2:5" s="103" customFormat="1" ht="15" x14ac:dyDescent="0.25">
      <c r="B350" s="50" t="s">
        <v>753</v>
      </c>
      <c r="C350" s="50"/>
      <c r="D350" s="50"/>
      <c r="E350" s="514"/>
    </row>
    <row r="351" spans="2:5" x14ac:dyDescent="0.2">
      <c r="B351" s="508"/>
      <c r="C351" s="508"/>
      <c r="D351" s="42"/>
      <c r="E351" s="42"/>
    </row>
    <row r="352" spans="2:5" ht="15" x14ac:dyDescent="0.25">
      <c r="B352" s="686" t="s">
        <v>754</v>
      </c>
      <c r="C352" s="687"/>
    </row>
    <row r="353" spans="1:7" ht="15" x14ac:dyDescent="0.25">
      <c r="B353" s="512" t="s">
        <v>709</v>
      </c>
      <c r="C353" s="515" t="s">
        <v>59</v>
      </c>
      <c r="D353" s="515" t="s">
        <v>55</v>
      </c>
      <c r="E353" s="515" t="s">
        <v>33</v>
      </c>
    </row>
    <row r="354" spans="1:7" x14ac:dyDescent="0.2">
      <c r="B354" s="481" t="s">
        <v>741</v>
      </c>
      <c r="C354" s="481">
        <v>2</v>
      </c>
      <c r="D354" s="481">
        <v>5000000</v>
      </c>
      <c r="E354" s="481">
        <f t="shared" ref="E354:E360" si="2">C354*D354</f>
        <v>10000000</v>
      </c>
    </row>
    <row r="355" spans="1:7" x14ac:dyDescent="0.2">
      <c r="B355" s="481" t="s">
        <v>742</v>
      </c>
      <c r="C355" s="481">
        <v>2000</v>
      </c>
      <c r="D355" s="481">
        <v>500</v>
      </c>
      <c r="E355" s="481">
        <f t="shared" si="2"/>
        <v>1000000</v>
      </c>
    </row>
    <row r="356" spans="1:7" x14ac:dyDescent="0.2">
      <c r="B356" s="481" t="s">
        <v>755</v>
      </c>
      <c r="C356" s="481">
        <v>4</v>
      </c>
      <c r="D356" s="481">
        <f>C286</f>
        <v>9200000</v>
      </c>
      <c r="E356" s="481">
        <f t="shared" si="2"/>
        <v>36800000</v>
      </c>
    </row>
    <row r="357" spans="1:7" x14ac:dyDescent="0.2">
      <c r="B357" s="481" t="s">
        <v>60</v>
      </c>
      <c r="C357" s="481">
        <v>8</v>
      </c>
      <c r="D357" s="481">
        <v>5000000</v>
      </c>
      <c r="E357" s="481">
        <v>10000000</v>
      </c>
    </row>
    <row r="358" spans="1:7" x14ac:dyDescent="0.2">
      <c r="B358" s="481" t="s">
        <v>756</v>
      </c>
      <c r="C358" s="481">
        <v>2</v>
      </c>
      <c r="D358" s="481">
        <f>C290</f>
        <v>20000000</v>
      </c>
      <c r="E358" s="481">
        <f t="shared" si="2"/>
        <v>40000000</v>
      </c>
    </row>
    <row r="359" spans="1:7" x14ac:dyDescent="0.2">
      <c r="B359" s="104" t="s">
        <v>757</v>
      </c>
      <c r="C359" s="481">
        <v>2</v>
      </c>
      <c r="D359" s="46">
        <f>C319</f>
        <v>15000000</v>
      </c>
      <c r="E359" s="481">
        <f t="shared" si="2"/>
        <v>30000000</v>
      </c>
    </row>
    <row r="360" spans="1:7" x14ac:dyDescent="0.2">
      <c r="B360" s="104" t="s">
        <v>758</v>
      </c>
      <c r="C360" s="481">
        <v>1000</v>
      </c>
      <c r="D360" s="46">
        <v>15000</v>
      </c>
      <c r="E360" s="481">
        <f t="shared" si="2"/>
        <v>15000000</v>
      </c>
    </row>
    <row r="361" spans="1:7" ht="15" x14ac:dyDescent="0.25">
      <c r="B361" s="512" t="s">
        <v>759</v>
      </c>
      <c r="C361" s="512"/>
      <c r="D361" s="512"/>
      <c r="E361" s="513">
        <f>SUM(E354:E360)</f>
        <v>142800000</v>
      </c>
    </row>
    <row r="362" spans="1:7" s="103" customFormat="1" ht="15" x14ac:dyDescent="0.25">
      <c r="A362" s="102"/>
      <c r="B362" s="50" t="s">
        <v>760</v>
      </c>
      <c r="C362" s="102"/>
      <c r="D362" s="102"/>
      <c r="E362" s="102"/>
      <c r="F362" s="102"/>
    </row>
    <row r="363" spans="1:7" s="103" customFormat="1" x14ac:dyDescent="0.2">
      <c r="A363" s="102"/>
      <c r="B363" s="516"/>
      <c r="C363" s="517"/>
      <c r="D363" s="518"/>
      <c r="E363" s="518"/>
      <c r="F363" s="519"/>
      <c r="G363" s="519"/>
    </row>
    <row r="364" spans="1:7" ht="15" x14ac:dyDescent="0.25">
      <c r="B364" s="686" t="s">
        <v>761</v>
      </c>
      <c r="C364" s="687"/>
    </row>
    <row r="365" spans="1:7" ht="15" x14ac:dyDescent="0.25">
      <c r="B365" s="512" t="s">
        <v>709</v>
      </c>
      <c r="C365" s="515" t="s">
        <v>59</v>
      </c>
      <c r="D365" s="515" t="s">
        <v>55</v>
      </c>
      <c r="E365" s="515" t="s">
        <v>33</v>
      </c>
    </row>
    <row r="366" spans="1:7" x14ac:dyDescent="0.2">
      <c r="B366" s="481" t="s">
        <v>741</v>
      </c>
      <c r="C366" s="481">
        <v>2</v>
      </c>
      <c r="D366" s="481">
        <v>5000000</v>
      </c>
      <c r="E366" s="481">
        <f t="shared" ref="E366:E372" si="3">C366*D366</f>
        <v>10000000</v>
      </c>
    </row>
    <row r="367" spans="1:7" x14ac:dyDescent="0.2">
      <c r="B367" s="481" t="s">
        <v>742</v>
      </c>
      <c r="C367" s="481">
        <v>10000</v>
      </c>
      <c r="D367" s="481">
        <v>500</v>
      </c>
      <c r="E367" s="481">
        <f t="shared" si="3"/>
        <v>5000000</v>
      </c>
    </row>
    <row r="368" spans="1:7" x14ac:dyDescent="0.2">
      <c r="B368" s="481" t="s">
        <v>762</v>
      </c>
      <c r="C368" s="481">
        <v>20</v>
      </c>
      <c r="D368" s="481">
        <f>C287</f>
        <v>150000</v>
      </c>
      <c r="E368" s="481">
        <f t="shared" si="3"/>
        <v>3000000</v>
      </c>
    </row>
    <row r="369" spans="1:6" x14ac:dyDescent="0.2">
      <c r="B369" s="481" t="s">
        <v>60</v>
      </c>
      <c r="C369" s="481">
        <v>1</v>
      </c>
      <c r="D369" s="481">
        <v>5000000</v>
      </c>
      <c r="E369" s="481">
        <f t="shared" si="3"/>
        <v>5000000</v>
      </c>
    </row>
    <row r="370" spans="1:6" x14ac:dyDescent="0.2">
      <c r="B370" s="481" t="s">
        <v>750</v>
      </c>
      <c r="C370" s="481">
        <v>12</v>
      </c>
      <c r="D370" s="481">
        <f>C291</f>
        <v>4000000</v>
      </c>
      <c r="E370" s="481">
        <f t="shared" si="3"/>
        <v>48000000</v>
      </c>
    </row>
    <row r="371" spans="1:6" x14ac:dyDescent="0.2">
      <c r="B371" s="104" t="s">
        <v>763</v>
      </c>
      <c r="C371" s="481">
        <v>4</v>
      </c>
      <c r="D371" s="46">
        <f>C289</f>
        <v>8000000</v>
      </c>
      <c r="E371" s="481">
        <f t="shared" si="3"/>
        <v>32000000</v>
      </c>
    </row>
    <row r="372" spans="1:6" x14ac:dyDescent="0.2">
      <c r="B372" s="104" t="s">
        <v>758</v>
      </c>
      <c r="C372" s="481">
        <v>500</v>
      </c>
      <c r="D372" s="46">
        <v>15000</v>
      </c>
      <c r="E372" s="481">
        <f t="shared" si="3"/>
        <v>7500000</v>
      </c>
    </row>
    <row r="373" spans="1:6" ht="15" x14ac:dyDescent="0.25">
      <c r="B373" s="512" t="s">
        <v>759</v>
      </c>
      <c r="C373" s="512"/>
      <c r="D373" s="512"/>
      <c r="E373" s="513">
        <f>SUM(E366:E372)</f>
        <v>110500000</v>
      </c>
    </row>
    <row r="374" spans="1:6" s="103" customFormat="1" ht="15" x14ac:dyDescent="0.25">
      <c r="A374" s="102"/>
      <c r="B374" s="50" t="s">
        <v>760</v>
      </c>
      <c r="C374" s="102"/>
      <c r="D374" s="102"/>
      <c r="E374" s="102"/>
      <c r="F374" s="102"/>
    </row>
    <row r="375" spans="1:6" s="103" customFormat="1" ht="15" x14ac:dyDescent="0.25">
      <c r="A375" s="102"/>
      <c r="B375" s="50"/>
      <c r="C375" s="102"/>
      <c r="D375" s="102"/>
      <c r="E375" s="102"/>
      <c r="F375" s="102"/>
    </row>
    <row r="376" spans="1:6" s="103" customFormat="1" ht="15" x14ac:dyDescent="0.25">
      <c r="A376" s="102"/>
      <c r="B376" s="467" t="s">
        <v>764</v>
      </c>
      <c r="C376" s="511" t="s">
        <v>55</v>
      </c>
      <c r="D376" s="518"/>
      <c r="E376" s="518"/>
      <c r="F376" s="102"/>
    </row>
    <row r="377" spans="1:6" s="103" customFormat="1" x14ac:dyDescent="0.2">
      <c r="A377" s="102"/>
      <c r="B377" s="447" t="s">
        <v>765</v>
      </c>
      <c r="C377" s="481">
        <v>3500000</v>
      </c>
      <c r="D377" s="518"/>
      <c r="E377" s="518"/>
      <c r="F377" s="102"/>
    </row>
    <row r="378" spans="1:6" s="103" customFormat="1" x14ac:dyDescent="0.2">
      <c r="A378" s="102"/>
      <c r="B378" s="104" t="s">
        <v>766</v>
      </c>
      <c r="C378" s="481">
        <v>1500000</v>
      </c>
      <c r="D378" s="518"/>
      <c r="E378" s="518"/>
      <c r="F378" s="102"/>
    </row>
    <row r="379" spans="1:6" s="103" customFormat="1" x14ac:dyDescent="0.2">
      <c r="A379" s="102"/>
      <c r="B379" s="685" t="s">
        <v>767</v>
      </c>
      <c r="C379" s="685"/>
      <c r="D379" s="518"/>
      <c r="E379" s="518"/>
      <c r="F379" s="102"/>
    </row>
    <row r="380" spans="1:6" s="103" customFormat="1" x14ac:dyDescent="0.2">
      <c r="A380" s="102"/>
      <c r="B380" s="42"/>
      <c r="C380" s="42"/>
      <c r="D380" s="518"/>
      <c r="E380" s="518"/>
      <c r="F380" s="102"/>
    </row>
    <row r="381" spans="1:6" s="103" customFormat="1" x14ac:dyDescent="0.2">
      <c r="A381" s="102"/>
      <c r="B381" s="42"/>
      <c r="C381" s="42"/>
      <c r="D381" s="518"/>
      <c r="E381" s="518"/>
      <c r="F381" s="102"/>
    </row>
    <row r="382" spans="1:6" s="103" customFormat="1" ht="15" x14ac:dyDescent="0.25">
      <c r="A382" s="102"/>
      <c r="B382" s="686" t="s">
        <v>768</v>
      </c>
      <c r="C382" s="687"/>
      <c r="D382" s="102"/>
      <c r="E382" s="102"/>
      <c r="F382" s="102"/>
    </row>
    <row r="383" spans="1:6" s="103" customFormat="1" ht="15" x14ac:dyDescent="0.25">
      <c r="A383" s="102"/>
      <c r="B383" s="512" t="s">
        <v>769</v>
      </c>
      <c r="C383" s="515" t="s">
        <v>59</v>
      </c>
      <c r="D383" s="515" t="s">
        <v>55</v>
      </c>
      <c r="E383" s="515" t="s">
        <v>33</v>
      </c>
      <c r="F383" s="102"/>
    </row>
    <row r="384" spans="1:6" s="103" customFormat="1" x14ac:dyDescent="0.2">
      <c r="A384" s="102"/>
      <c r="B384" s="447" t="s">
        <v>770</v>
      </c>
      <c r="C384" s="481">
        <v>8</v>
      </c>
      <c r="D384" s="481">
        <f>D335</f>
        <v>9200000</v>
      </c>
      <c r="E384" s="481">
        <f>C384*D384</f>
        <v>73600000</v>
      </c>
      <c r="F384" s="102"/>
    </row>
    <row r="385" spans="1:7" s="103" customFormat="1" x14ac:dyDescent="0.2">
      <c r="A385" s="102"/>
      <c r="B385" s="447" t="s">
        <v>60</v>
      </c>
      <c r="C385" s="481">
        <v>1</v>
      </c>
      <c r="D385" s="481">
        <v>10000000</v>
      </c>
      <c r="E385" s="481">
        <f>C385*D385</f>
        <v>10000000</v>
      </c>
      <c r="F385" s="102"/>
    </row>
    <row r="386" spans="1:7" s="103" customFormat="1" ht="15" x14ac:dyDescent="0.25">
      <c r="A386" s="102"/>
      <c r="B386" s="512" t="s">
        <v>771</v>
      </c>
      <c r="C386" s="102"/>
      <c r="D386" s="102"/>
      <c r="E386" s="513">
        <f>SUM(E384:E385)</f>
        <v>83600000</v>
      </c>
      <c r="F386" s="102"/>
    </row>
    <row r="387" spans="1:7" s="103" customFormat="1" ht="15" x14ac:dyDescent="0.25">
      <c r="B387" s="520"/>
      <c r="E387" s="514"/>
    </row>
    <row r="388" spans="1:7" s="103" customFormat="1" ht="15" x14ac:dyDescent="0.25">
      <c r="A388" s="102"/>
      <c r="B388" s="688" t="s">
        <v>772</v>
      </c>
      <c r="C388" s="689"/>
      <c r="D388" s="102"/>
      <c r="E388" s="102"/>
      <c r="F388" s="519"/>
      <c r="G388" s="519"/>
    </row>
    <row r="389" spans="1:7" s="103" customFormat="1" ht="15" x14ac:dyDescent="0.25">
      <c r="A389" s="102"/>
      <c r="B389" s="512" t="s">
        <v>769</v>
      </c>
      <c r="C389" s="515" t="s">
        <v>59</v>
      </c>
      <c r="D389" s="515" t="s">
        <v>55</v>
      </c>
      <c r="E389" s="515" t="s">
        <v>33</v>
      </c>
      <c r="F389" s="519"/>
      <c r="G389" s="519"/>
    </row>
    <row r="390" spans="1:7" s="103" customFormat="1" x14ac:dyDescent="0.2">
      <c r="A390" s="102"/>
      <c r="B390" s="481" t="s">
        <v>762</v>
      </c>
      <c r="C390" s="481">
        <v>30</v>
      </c>
      <c r="D390" s="481">
        <f>C287</f>
        <v>150000</v>
      </c>
      <c r="E390" s="481">
        <f>C390*D390</f>
        <v>4500000</v>
      </c>
      <c r="F390" s="519"/>
      <c r="G390" s="519"/>
    </row>
    <row r="391" spans="1:7" s="103" customFormat="1" x14ac:dyDescent="0.2">
      <c r="A391" s="102"/>
      <c r="B391" s="481" t="s">
        <v>60</v>
      </c>
      <c r="C391" s="481">
        <v>1</v>
      </c>
      <c r="D391" s="481">
        <v>10000000</v>
      </c>
      <c r="E391" s="481">
        <f>C391*D391</f>
        <v>10000000</v>
      </c>
      <c r="F391" s="42"/>
      <c r="G391" s="42"/>
    </row>
    <row r="392" spans="1:7" s="103" customFormat="1" ht="15" x14ac:dyDescent="0.25">
      <c r="A392" s="102"/>
      <c r="B392" s="512" t="s">
        <v>61</v>
      </c>
      <c r="C392" s="102"/>
      <c r="D392" s="102"/>
      <c r="E392" s="513">
        <f>SUM(E390:E391)</f>
        <v>14500000</v>
      </c>
      <c r="F392" s="102"/>
    </row>
    <row r="393" spans="1:7" s="103" customFormat="1" x14ac:dyDescent="0.2">
      <c r="A393" s="102"/>
      <c r="B393" s="517"/>
      <c r="C393" s="517"/>
      <c r="D393" s="518"/>
      <c r="E393" s="518"/>
      <c r="F393" s="42"/>
      <c r="G393" s="42"/>
    </row>
    <row r="394" spans="1:7" s="103" customFormat="1" ht="15" x14ac:dyDescent="0.25">
      <c r="A394" s="102"/>
      <c r="B394" s="688" t="s">
        <v>773</v>
      </c>
      <c r="C394" s="689"/>
      <c r="D394" s="102"/>
      <c r="E394" s="102"/>
      <c r="F394" s="519"/>
      <c r="G394" s="519"/>
    </row>
    <row r="395" spans="1:7" s="103" customFormat="1" ht="15" x14ac:dyDescent="0.25">
      <c r="A395" s="102"/>
      <c r="B395" s="512" t="s">
        <v>769</v>
      </c>
      <c r="C395" s="515" t="s">
        <v>59</v>
      </c>
      <c r="D395" s="515" t="s">
        <v>55</v>
      </c>
      <c r="E395" s="515" t="s">
        <v>33</v>
      </c>
      <c r="F395" s="519"/>
      <c r="G395" s="519"/>
    </row>
    <row r="396" spans="1:7" s="103" customFormat="1" x14ac:dyDescent="0.2">
      <c r="A396" s="102"/>
      <c r="B396" s="481" t="s">
        <v>770</v>
      </c>
      <c r="C396" s="481"/>
      <c r="D396" s="481"/>
      <c r="E396" s="481"/>
      <c r="F396" s="519"/>
      <c r="G396" s="519"/>
    </row>
    <row r="397" spans="1:7" s="103" customFormat="1" x14ac:dyDescent="0.2">
      <c r="A397" s="102"/>
      <c r="B397" s="481" t="s">
        <v>762</v>
      </c>
      <c r="C397" s="481">
        <v>30</v>
      </c>
      <c r="D397" s="481">
        <f>C293</f>
        <v>217000000</v>
      </c>
      <c r="E397" s="481">
        <f>C397*D397</f>
        <v>6510000000</v>
      </c>
      <c r="F397" s="519"/>
      <c r="G397" s="519"/>
    </row>
    <row r="398" spans="1:7" s="103" customFormat="1" x14ac:dyDescent="0.2">
      <c r="A398" s="102"/>
      <c r="B398" s="481"/>
      <c r="C398" s="481"/>
      <c r="D398" s="481"/>
      <c r="E398" s="481"/>
      <c r="F398" s="519"/>
      <c r="G398" s="519"/>
    </row>
    <row r="399" spans="1:7" s="103" customFormat="1" x14ac:dyDescent="0.2">
      <c r="A399" s="102"/>
      <c r="B399" s="481" t="s">
        <v>60</v>
      </c>
      <c r="C399" s="481">
        <v>1</v>
      </c>
      <c r="D399" s="481">
        <v>10000000</v>
      </c>
      <c r="E399" s="481">
        <f>C399*D399</f>
        <v>10000000</v>
      </c>
      <c r="F399" s="42"/>
      <c r="G399" s="42"/>
    </row>
    <row r="400" spans="1:7" s="103" customFormat="1" ht="15" x14ac:dyDescent="0.25">
      <c r="A400" s="102"/>
      <c r="B400" s="512" t="s">
        <v>61</v>
      </c>
      <c r="C400" s="102"/>
      <c r="D400" s="102"/>
      <c r="E400" s="513">
        <f>SUM(E397:E399)</f>
        <v>6520000000</v>
      </c>
      <c r="F400" s="102"/>
    </row>
    <row r="401" spans="1:17" s="103" customFormat="1" x14ac:dyDescent="0.2">
      <c r="A401" s="102"/>
      <c r="B401" s="42"/>
      <c r="C401" s="42"/>
      <c r="D401" s="518"/>
      <c r="E401" s="518"/>
      <c r="F401" s="102"/>
    </row>
    <row r="402" spans="1:17" s="103" customFormat="1" x14ac:dyDescent="0.2">
      <c r="A402" s="102"/>
      <c r="B402" s="42"/>
      <c r="C402" s="42"/>
      <c r="D402" s="518"/>
      <c r="E402" s="518"/>
      <c r="F402" s="102"/>
    </row>
    <row r="403" spans="1:17" s="103" customFormat="1" ht="15" x14ac:dyDescent="0.25">
      <c r="A403" s="102"/>
      <c r="B403" s="512" t="s">
        <v>774</v>
      </c>
      <c r="C403" s="102"/>
      <c r="D403" s="518"/>
      <c r="E403" s="518"/>
      <c r="F403" s="102"/>
    </row>
    <row r="404" spans="1:17" s="103" customFormat="1" x14ac:dyDescent="0.2">
      <c r="A404" s="102"/>
      <c r="B404" s="104" t="str">
        <f>B411</f>
        <v>a. Rueda de negocio nacional y regional presencial</v>
      </c>
      <c r="C404" s="481">
        <f>C421</f>
        <v>52200000</v>
      </c>
      <c r="D404" s="102"/>
      <c r="E404" s="102"/>
      <c r="F404" s="102"/>
    </row>
    <row r="405" spans="1:17" s="103" customFormat="1" x14ac:dyDescent="0.2">
      <c r="A405" s="102"/>
      <c r="B405" s="104" t="str">
        <f>B425</f>
        <v>b Rueda de negocio  virtual</v>
      </c>
      <c r="C405" s="481">
        <f>C429</f>
        <v>20000000</v>
      </c>
      <c r="D405" s="102"/>
      <c r="E405" s="102"/>
      <c r="F405" s="102"/>
    </row>
    <row r="406" spans="1:17" s="103" customFormat="1" x14ac:dyDescent="0.2">
      <c r="A406" s="102"/>
      <c r="B406" s="104" t="str">
        <f>B432</f>
        <v xml:space="preserve">c. Participación en ferias comerciales </v>
      </c>
      <c r="C406" s="46">
        <f>C436</f>
        <v>18000000</v>
      </c>
      <c r="D406" s="102"/>
      <c r="E406" s="102"/>
      <c r="F406" s="102"/>
    </row>
    <row r="407" spans="1:17" s="103" customFormat="1" x14ac:dyDescent="0.2">
      <c r="A407" s="102"/>
      <c r="B407" s="104" t="str">
        <f>B439</f>
        <v>d. Participación en ferias comerciales internacionales</v>
      </c>
      <c r="C407" s="46">
        <f>C444</f>
        <v>45000000</v>
      </c>
      <c r="D407" s="102"/>
      <c r="E407" s="102"/>
      <c r="F407" s="102"/>
    </row>
    <row r="408" spans="1:17" s="103" customFormat="1" x14ac:dyDescent="0.2">
      <c r="A408" s="102"/>
      <c r="B408" s="104" t="s">
        <v>775</v>
      </c>
      <c r="C408" s="46">
        <v>5000000</v>
      </c>
      <c r="D408" s="518"/>
      <c r="E408" s="518"/>
      <c r="F408" s="42"/>
      <c r="G408" s="42"/>
    </row>
    <row r="409" spans="1:17" s="103" customFormat="1" x14ac:dyDescent="0.2">
      <c r="A409" s="102"/>
      <c r="B409" s="518"/>
      <c r="C409" s="518"/>
      <c r="D409" s="518"/>
      <c r="E409" s="518"/>
      <c r="F409" s="42"/>
      <c r="G409" s="42"/>
    </row>
    <row r="410" spans="1:17" s="103" customFormat="1" x14ac:dyDescent="0.2">
      <c r="A410" s="102"/>
      <c r="B410" s="517"/>
      <c r="C410" s="517"/>
      <c r="D410" s="518"/>
      <c r="E410" s="518"/>
      <c r="F410" s="42"/>
      <c r="G410" s="42"/>
    </row>
    <row r="411" spans="1:17" ht="15" x14ac:dyDescent="0.25">
      <c r="B411" s="512" t="s">
        <v>776</v>
      </c>
      <c r="J411" s="103"/>
      <c r="K411" s="103"/>
      <c r="L411" s="103"/>
      <c r="M411" s="103"/>
      <c r="N411" s="103"/>
      <c r="O411" s="103"/>
      <c r="P411" s="103"/>
      <c r="Q411" s="103"/>
    </row>
    <row r="412" spans="1:17" x14ac:dyDescent="0.2">
      <c r="B412" s="104" t="s">
        <v>777</v>
      </c>
      <c r="C412" s="481">
        <f>400000*30</f>
        <v>12000000</v>
      </c>
      <c r="J412" s="103"/>
      <c r="K412" s="103"/>
      <c r="L412" s="103"/>
      <c r="M412" s="103"/>
      <c r="N412" s="103"/>
      <c r="O412" s="103"/>
      <c r="P412" s="103"/>
      <c r="Q412" s="103"/>
    </row>
    <row r="413" spans="1:17" x14ac:dyDescent="0.2">
      <c r="B413" s="104" t="s">
        <v>778</v>
      </c>
      <c r="C413" s="481">
        <v>5000000</v>
      </c>
      <c r="J413" s="103"/>
      <c r="K413" s="103"/>
      <c r="L413" s="103"/>
      <c r="M413" s="103"/>
      <c r="N413" s="103"/>
      <c r="O413" s="103"/>
      <c r="P413" s="103"/>
      <c r="Q413" s="103"/>
    </row>
    <row r="414" spans="1:17" x14ac:dyDescent="0.2">
      <c r="B414" s="104" t="s">
        <v>779</v>
      </c>
      <c r="C414" s="481">
        <f>30*30000</f>
        <v>900000</v>
      </c>
      <c r="J414" s="103"/>
      <c r="K414" s="103"/>
      <c r="L414" s="103"/>
      <c r="M414" s="103"/>
      <c r="N414" s="103"/>
      <c r="O414" s="103"/>
      <c r="P414" s="103"/>
      <c r="Q414" s="103"/>
    </row>
    <row r="415" spans="1:17" x14ac:dyDescent="0.2">
      <c r="B415" s="104" t="s">
        <v>674</v>
      </c>
      <c r="C415" s="481">
        <v>100000</v>
      </c>
      <c r="J415" s="103"/>
      <c r="K415" s="103"/>
      <c r="L415" s="103"/>
      <c r="M415" s="103"/>
      <c r="N415" s="103"/>
      <c r="O415" s="103"/>
      <c r="P415" s="103"/>
      <c r="Q415" s="103"/>
    </row>
    <row r="416" spans="1:17" x14ac:dyDescent="0.2">
      <c r="B416" s="104" t="s">
        <v>780</v>
      </c>
      <c r="C416" s="481">
        <f>300000*30</f>
        <v>9000000</v>
      </c>
      <c r="J416" s="103"/>
      <c r="K416" s="103"/>
      <c r="L416" s="103"/>
      <c r="M416" s="103"/>
      <c r="N416" s="103"/>
      <c r="O416" s="103"/>
      <c r="P416" s="103"/>
      <c r="Q416" s="103"/>
    </row>
    <row r="417" spans="2:17" x14ac:dyDescent="0.2">
      <c r="B417" s="104" t="s">
        <v>781</v>
      </c>
      <c r="C417" s="481">
        <f>2000*100</f>
        <v>200000</v>
      </c>
      <c r="J417" s="103"/>
      <c r="K417" s="103"/>
      <c r="L417" s="103"/>
      <c r="M417" s="103"/>
      <c r="N417" s="103"/>
      <c r="O417" s="103"/>
      <c r="P417" s="103"/>
      <c r="Q417" s="103"/>
    </row>
    <row r="418" spans="2:17" x14ac:dyDescent="0.2">
      <c r="B418" s="104" t="s">
        <v>62</v>
      </c>
      <c r="C418" s="481">
        <v>10000000</v>
      </c>
      <c r="J418" s="103"/>
      <c r="K418" s="103"/>
      <c r="L418" s="103"/>
      <c r="M418" s="103"/>
      <c r="N418" s="103"/>
      <c r="O418" s="103"/>
      <c r="P418" s="103"/>
      <c r="Q418" s="103"/>
    </row>
    <row r="419" spans="2:17" x14ac:dyDescent="0.2">
      <c r="B419" s="104" t="s">
        <v>741</v>
      </c>
      <c r="C419" s="481">
        <v>10000000</v>
      </c>
      <c r="J419" s="103"/>
      <c r="K419" s="103"/>
      <c r="L419" s="103"/>
      <c r="M419" s="103"/>
      <c r="N419" s="103"/>
      <c r="O419" s="103"/>
      <c r="P419" s="103"/>
      <c r="Q419" s="103"/>
    </row>
    <row r="420" spans="2:17" x14ac:dyDescent="0.2">
      <c r="B420" s="104" t="s">
        <v>782</v>
      </c>
      <c r="C420" s="481">
        <v>5000000</v>
      </c>
      <c r="J420" s="103"/>
      <c r="K420" s="103"/>
      <c r="L420" s="103"/>
      <c r="M420" s="103"/>
      <c r="N420" s="103"/>
      <c r="O420" s="103"/>
      <c r="P420" s="103"/>
      <c r="Q420" s="103"/>
    </row>
    <row r="421" spans="2:17" ht="15" x14ac:dyDescent="0.25">
      <c r="B421" s="512" t="s">
        <v>783</v>
      </c>
      <c r="C421" s="521">
        <f>SUM(C412:C420)</f>
        <v>52200000</v>
      </c>
      <c r="J421" s="103"/>
      <c r="K421" s="103"/>
      <c r="L421" s="103"/>
      <c r="M421" s="103"/>
      <c r="N421" s="103"/>
      <c r="O421" s="103"/>
      <c r="P421" s="103"/>
      <c r="Q421" s="103"/>
    </row>
    <row r="422" spans="2:17" x14ac:dyDescent="0.2">
      <c r="B422" s="102" t="s">
        <v>784</v>
      </c>
      <c r="J422" s="103"/>
      <c r="K422" s="103"/>
      <c r="L422" s="103"/>
      <c r="M422" s="103"/>
      <c r="N422" s="103"/>
      <c r="O422" s="103"/>
      <c r="P422" s="103"/>
      <c r="Q422" s="103"/>
    </row>
    <row r="423" spans="2:17" x14ac:dyDescent="0.2">
      <c r="B423" s="102" t="s">
        <v>76</v>
      </c>
      <c r="J423" s="103"/>
      <c r="K423" s="103"/>
      <c r="L423" s="103"/>
      <c r="M423" s="103"/>
      <c r="N423" s="103"/>
      <c r="O423" s="103"/>
      <c r="P423" s="103"/>
      <c r="Q423" s="103"/>
    </row>
    <row r="424" spans="2:17" x14ac:dyDescent="0.2">
      <c r="J424" s="103"/>
      <c r="K424" s="103"/>
      <c r="L424" s="103"/>
      <c r="M424" s="103"/>
      <c r="N424" s="103"/>
      <c r="O424" s="103"/>
      <c r="P424" s="103"/>
      <c r="Q424" s="103"/>
    </row>
    <row r="425" spans="2:17" ht="15" x14ac:dyDescent="0.25">
      <c r="B425" s="512" t="s">
        <v>785</v>
      </c>
      <c r="C425" s="431"/>
      <c r="J425" s="103"/>
      <c r="K425" s="103"/>
      <c r="L425" s="103"/>
      <c r="M425" s="103"/>
      <c r="N425" s="103"/>
      <c r="O425" s="103"/>
      <c r="P425" s="103"/>
      <c r="Q425" s="103"/>
    </row>
    <row r="426" spans="2:17" x14ac:dyDescent="0.2">
      <c r="B426" s="104" t="s">
        <v>62</v>
      </c>
      <c r="C426" s="481">
        <v>5000000</v>
      </c>
      <c r="J426" s="103"/>
      <c r="K426" s="103"/>
      <c r="L426" s="103"/>
      <c r="M426" s="103"/>
      <c r="N426" s="103"/>
      <c r="O426" s="103"/>
      <c r="P426" s="103"/>
      <c r="Q426" s="103"/>
    </row>
    <row r="427" spans="2:17" x14ac:dyDescent="0.2">
      <c r="B427" s="104" t="s">
        <v>741</v>
      </c>
      <c r="C427" s="481">
        <v>10000000</v>
      </c>
      <c r="J427" s="103"/>
      <c r="K427" s="103"/>
      <c r="L427" s="103"/>
      <c r="M427" s="103"/>
      <c r="N427" s="103"/>
      <c r="O427" s="103"/>
      <c r="P427" s="103"/>
      <c r="Q427" s="103"/>
    </row>
    <row r="428" spans="2:17" x14ac:dyDescent="0.2">
      <c r="B428" s="104" t="s">
        <v>786</v>
      </c>
      <c r="C428" s="481">
        <v>5000000</v>
      </c>
      <c r="J428" s="103"/>
      <c r="K428" s="103"/>
      <c r="L428" s="103"/>
      <c r="M428" s="103"/>
      <c r="N428" s="103"/>
      <c r="O428" s="103"/>
      <c r="P428" s="103"/>
      <c r="Q428" s="103"/>
    </row>
    <row r="429" spans="2:17" ht="15" x14ac:dyDescent="0.25">
      <c r="B429" s="512" t="s">
        <v>783</v>
      </c>
      <c r="C429" s="521">
        <f>SUM(C426:C428)</f>
        <v>20000000</v>
      </c>
      <c r="J429" s="103"/>
      <c r="K429" s="103"/>
      <c r="L429" s="103"/>
      <c r="M429" s="103"/>
      <c r="N429" s="103"/>
      <c r="O429" s="103"/>
      <c r="P429" s="103"/>
      <c r="Q429" s="103"/>
    </row>
    <row r="430" spans="2:17" x14ac:dyDescent="0.2">
      <c r="B430" s="102" t="s">
        <v>106</v>
      </c>
      <c r="J430" s="103"/>
      <c r="K430" s="103"/>
      <c r="L430" s="103"/>
      <c r="M430" s="103"/>
      <c r="N430" s="103"/>
      <c r="O430" s="103"/>
      <c r="P430" s="103"/>
      <c r="Q430" s="103"/>
    </row>
    <row r="431" spans="2:17" x14ac:dyDescent="0.2">
      <c r="J431" s="103"/>
      <c r="K431" s="103"/>
      <c r="L431" s="103"/>
      <c r="M431" s="103"/>
      <c r="N431" s="103"/>
      <c r="O431" s="103"/>
      <c r="P431" s="103"/>
      <c r="Q431" s="103"/>
    </row>
    <row r="432" spans="2:17" ht="15" x14ac:dyDescent="0.25">
      <c r="B432" s="512" t="s">
        <v>787</v>
      </c>
      <c r="C432" s="431"/>
      <c r="J432" s="103"/>
      <c r="K432" s="103"/>
      <c r="L432" s="103"/>
      <c r="M432" s="103"/>
      <c r="N432" s="103"/>
      <c r="O432" s="103"/>
      <c r="P432" s="103"/>
      <c r="Q432" s="103"/>
    </row>
    <row r="433" spans="2:17" x14ac:dyDescent="0.2">
      <c r="B433" s="104" t="s">
        <v>788</v>
      </c>
      <c r="C433" s="481">
        <f>1400000*5</f>
        <v>7000000</v>
      </c>
      <c r="J433" s="103"/>
      <c r="K433" s="103"/>
      <c r="L433" s="103"/>
      <c r="M433" s="103"/>
      <c r="N433" s="103"/>
      <c r="O433" s="103"/>
      <c r="P433" s="103"/>
      <c r="Q433" s="103"/>
    </row>
    <row r="434" spans="2:17" x14ac:dyDescent="0.2">
      <c r="B434" s="104" t="s">
        <v>780</v>
      </c>
      <c r="C434" s="481">
        <f>200000*5</f>
        <v>1000000</v>
      </c>
      <c r="J434" s="103"/>
      <c r="K434" s="103"/>
      <c r="L434" s="103"/>
      <c r="M434" s="103"/>
      <c r="N434" s="103"/>
      <c r="O434" s="103"/>
      <c r="P434" s="103"/>
      <c r="Q434" s="103"/>
    </row>
    <row r="435" spans="2:17" x14ac:dyDescent="0.2">
      <c r="B435" s="104" t="s">
        <v>789</v>
      </c>
      <c r="C435" s="481">
        <f>2000000*5</f>
        <v>10000000</v>
      </c>
      <c r="J435" s="103"/>
      <c r="K435" s="103"/>
      <c r="L435" s="103"/>
      <c r="M435" s="103"/>
      <c r="N435" s="103"/>
      <c r="O435" s="103"/>
      <c r="P435" s="103"/>
      <c r="Q435" s="103"/>
    </row>
    <row r="436" spans="2:17" ht="15" x14ac:dyDescent="0.25">
      <c r="B436" s="522" t="s">
        <v>790</v>
      </c>
      <c r="C436" s="521">
        <f>SUM(C433:C435)</f>
        <v>18000000</v>
      </c>
      <c r="J436" s="103"/>
      <c r="K436" s="103"/>
      <c r="L436" s="103"/>
      <c r="M436" s="103"/>
      <c r="N436" s="103"/>
      <c r="O436" s="103"/>
      <c r="P436" s="103"/>
      <c r="Q436" s="103"/>
    </row>
    <row r="437" spans="2:17" x14ac:dyDescent="0.2">
      <c r="B437" s="102" t="s">
        <v>791</v>
      </c>
      <c r="J437" s="103"/>
      <c r="K437" s="103"/>
      <c r="L437" s="103"/>
      <c r="M437" s="103"/>
      <c r="N437" s="103"/>
      <c r="O437" s="103"/>
      <c r="P437" s="103"/>
      <c r="Q437" s="103"/>
    </row>
    <row r="438" spans="2:17" x14ac:dyDescent="0.2">
      <c r="J438" s="103"/>
      <c r="K438" s="103"/>
      <c r="L438" s="103"/>
      <c r="M438" s="103"/>
      <c r="N438" s="103"/>
      <c r="O438" s="103"/>
      <c r="P438" s="103"/>
      <c r="Q438" s="103"/>
    </row>
    <row r="439" spans="2:17" ht="15" x14ac:dyDescent="0.25">
      <c r="B439" s="512" t="s">
        <v>792</v>
      </c>
      <c r="C439" s="431"/>
      <c r="J439" s="103"/>
      <c r="K439" s="103"/>
      <c r="L439" s="103"/>
      <c r="M439" s="103"/>
      <c r="N439" s="103"/>
      <c r="O439" s="103"/>
      <c r="P439" s="103"/>
      <c r="Q439" s="103"/>
    </row>
    <row r="440" spans="2:17" x14ac:dyDescent="0.2">
      <c r="B440" s="104" t="s">
        <v>793</v>
      </c>
      <c r="C440" s="481">
        <f>2500000*5</f>
        <v>12500000</v>
      </c>
      <c r="J440" s="103"/>
      <c r="K440" s="103"/>
      <c r="L440" s="103"/>
      <c r="M440" s="103"/>
      <c r="N440" s="103"/>
      <c r="O440" s="103"/>
      <c r="P440" s="103"/>
      <c r="Q440" s="103"/>
    </row>
    <row r="441" spans="2:17" x14ac:dyDescent="0.2">
      <c r="B441" s="104" t="s">
        <v>780</v>
      </c>
      <c r="C441" s="481">
        <f>1000*5*C281</f>
        <v>18591125</v>
      </c>
      <c r="J441" s="103"/>
      <c r="K441" s="103"/>
      <c r="L441" s="103"/>
      <c r="M441" s="103"/>
      <c r="N441" s="103"/>
      <c r="O441" s="103"/>
      <c r="P441" s="103"/>
      <c r="Q441" s="103"/>
    </row>
    <row r="442" spans="2:17" x14ac:dyDescent="0.2">
      <c r="B442" s="104" t="s">
        <v>794</v>
      </c>
      <c r="C442" s="481">
        <f>3500*C281</f>
        <v>13013787.500000002</v>
      </c>
      <c r="J442" s="103"/>
      <c r="K442" s="103"/>
      <c r="L442" s="103"/>
      <c r="M442" s="103"/>
      <c r="N442" s="103"/>
      <c r="O442" s="103"/>
      <c r="P442" s="103"/>
      <c r="Q442" s="103"/>
    </row>
    <row r="443" spans="2:17" ht="15" x14ac:dyDescent="0.25">
      <c r="B443" s="522" t="s">
        <v>790</v>
      </c>
      <c r="C443" s="521">
        <f>SUM(C440:C442)</f>
        <v>44104912.5</v>
      </c>
      <c r="J443" s="103"/>
      <c r="K443" s="103"/>
      <c r="L443" s="103"/>
      <c r="M443" s="103"/>
      <c r="N443" s="103"/>
      <c r="O443" s="103"/>
      <c r="P443" s="103"/>
      <c r="Q443" s="103"/>
    </row>
    <row r="444" spans="2:17" ht="15" x14ac:dyDescent="0.25">
      <c r="B444" s="512" t="s">
        <v>795</v>
      </c>
      <c r="C444" s="521">
        <v>45000000</v>
      </c>
      <c r="J444" s="103"/>
      <c r="K444" s="103"/>
      <c r="L444" s="103"/>
      <c r="M444" s="103"/>
      <c r="N444" s="103"/>
      <c r="O444" s="103"/>
      <c r="P444" s="103"/>
      <c r="Q444" s="103"/>
    </row>
    <row r="445" spans="2:17" x14ac:dyDescent="0.2">
      <c r="B445" s="102" t="s">
        <v>796</v>
      </c>
      <c r="J445" s="103"/>
      <c r="K445" s="103"/>
      <c r="L445" s="103"/>
      <c r="M445" s="103"/>
      <c r="N445" s="103"/>
      <c r="O445" s="103"/>
      <c r="P445" s="103"/>
      <c r="Q445" s="103"/>
    </row>
    <row r="446" spans="2:17" x14ac:dyDescent="0.2">
      <c r="J446" s="103"/>
      <c r="K446" s="103"/>
      <c r="L446" s="103"/>
      <c r="M446" s="103"/>
      <c r="N446" s="103"/>
      <c r="O446" s="103"/>
      <c r="P446" s="103"/>
      <c r="Q446" s="103"/>
    </row>
    <row r="447" spans="2:17" x14ac:dyDescent="0.2">
      <c r="J447" s="103"/>
      <c r="K447" s="103"/>
      <c r="L447" s="103"/>
      <c r="M447" s="103"/>
      <c r="N447" s="103"/>
      <c r="O447" s="103"/>
      <c r="P447" s="103"/>
      <c r="Q447" s="103"/>
    </row>
    <row r="448" spans="2:17" x14ac:dyDescent="0.2">
      <c r="J448" s="103"/>
      <c r="K448" s="103"/>
      <c r="L448" s="103"/>
      <c r="M448" s="103"/>
      <c r="N448" s="103"/>
      <c r="O448" s="103"/>
      <c r="P448" s="103"/>
      <c r="Q448" s="103"/>
    </row>
    <row r="449" spans="2:17" ht="15" x14ac:dyDescent="0.25">
      <c r="B449" s="523" t="s">
        <v>797</v>
      </c>
      <c r="F449" s="431"/>
      <c r="J449" s="103"/>
      <c r="K449" s="103"/>
      <c r="L449" s="103"/>
      <c r="M449" s="103"/>
      <c r="N449" s="103"/>
      <c r="O449" s="103"/>
      <c r="P449" s="103"/>
      <c r="Q449" s="103"/>
    </row>
    <row r="450" spans="2:17" ht="57" x14ac:dyDescent="0.2">
      <c r="B450" s="48" t="s">
        <v>798</v>
      </c>
      <c r="C450" s="315" t="s">
        <v>799</v>
      </c>
      <c r="D450" s="46">
        <f>200000*30</f>
        <v>6000000</v>
      </c>
      <c r="J450" s="103"/>
      <c r="K450" s="103"/>
      <c r="L450" s="103"/>
      <c r="M450" s="103"/>
      <c r="N450" s="103"/>
      <c r="O450" s="103"/>
      <c r="P450" s="103"/>
      <c r="Q450" s="103"/>
    </row>
    <row r="451" spans="2:17" ht="42.75" x14ac:dyDescent="0.2">
      <c r="B451" s="48" t="s">
        <v>800</v>
      </c>
      <c r="C451" s="315" t="s">
        <v>801</v>
      </c>
      <c r="D451" s="46">
        <f>D450*30%</f>
        <v>1800000</v>
      </c>
      <c r="J451" s="103"/>
      <c r="K451" s="103"/>
      <c r="L451" s="103"/>
      <c r="M451" s="103"/>
      <c r="N451" s="103"/>
      <c r="O451" s="103"/>
      <c r="P451" s="103"/>
      <c r="Q451" s="103"/>
    </row>
    <row r="452" spans="2:17" x14ac:dyDescent="0.2">
      <c r="B452" s="48" t="s">
        <v>802</v>
      </c>
      <c r="C452" s="104" t="s">
        <v>803</v>
      </c>
      <c r="D452" s="46">
        <v>1500000</v>
      </c>
      <c r="J452" s="103"/>
      <c r="K452" s="103"/>
      <c r="L452" s="103"/>
      <c r="M452" s="103"/>
      <c r="N452" s="103"/>
      <c r="O452" s="103"/>
      <c r="P452" s="103"/>
      <c r="Q452" s="103"/>
    </row>
    <row r="453" spans="2:17" ht="28.5" x14ac:dyDescent="0.2">
      <c r="B453" s="48" t="s">
        <v>804</v>
      </c>
      <c r="C453" s="315" t="s">
        <v>805</v>
      </c>
      <c r="D453" s="46">
        <f>D452*30%</f>
        <v>450000</v>
      </c>
      <c r="J453" s="103"/>
      <c r="K453" s="103"/>
      <c r="L453" s="103"/>
      <c r="M453" s="103"/>
      <c r="N453" s="103"/>
      <c r="O453" s="103"/>
      <c r="P453" s="103"/>
      <c r="Q453" s="103"/>
    </row>
    <row r="454" spans="2:17" x14ac:dyDescent="0.2">
      <c r="B454" s="48" t="s">
        <v>806</v>
      </c>
      <c r="C454" s="315" t="s">
        <v>803</v>
      </c>
      <c r="D454" s="46">
        <v>3000000</v>
      </c>
      <c r="J454" s="103"/>
      <c r="K454" s="103"/>
      <c r="L454" s="103"/>
      <c r="M454" s="103"/>
      <c r="N454" s="103"/>
      <c r="O454" s="103"/>
      <c r="P454" s="103"/>
      <c r="Q454" s="103"/>
    </row>
    <row r="455" spans="2:17" ht="28.5" x14ac:dyDescent="0.2">
      <c r="B455" s="48" t="s">
        <v>807</v>
      </c>
      <c r="C455" s="315" t="s">
        <v>808</v>
      </c>
      <c r="D455" s="46">
        <f>D454*30%</f>
        <v>900000</v>
      </c>
      <c r="J455" s="103"/>
      <c r="K455" s="103"/>
      <c r="L455" s="103"/>
      <c r="M455" s="103"/>
      <c r="N455" s="103"/>
      <c r="O455" s="103"/>
      <c r="P455" s="103"/>
      <c r="Q455" s="103"/>
    </row>
    <row r="456" spans="2:17" x14ac:dyDescent="0.2">
      <c r="B456" s="48" t="s">
        <v>809</v>
      </c>
      <c r="C456" s="104" t="s">
        <v>803</v>
      </c>
      <c r="D456" s="46">
        <v>30000000</v>
      </c>
      <c r="J456" s="103"/>
      <c r="K456" s="103"/>
      <c r="L456" s="103"/>
      <c r="M456" s="103"/>
      <c r="N456" s="103"/>
      <c r="O456" s="103"/>
      <c r="P456" s="103"/>
      <c r="Q456" s="103"/>
    </row>
    <row r="457" spans="2:17" x14ac:dyDescent="0.2">
      <c r="B457" s="48" t="s">
        <v>810</v>
      </c>
      <c r="C457" s="104" t="s">
        <v>811</v>
      </c>
      <c r="D457" s="46">
        <v>45000000</v>
      </c>
      <c r="P457" s="103"/>
      <c r="Q457" s="103"/>
    </row>
    <row r="458" spans="2:17" x14ac:dyDescent="0.2">
      <c r="B458" s="48" t="s">
        <v>812</v>
      </c>
      <c r="C458" s="104" t="s">
        <v>803</v>
      </c>
      <c r="D458" s="46">
        <v>100000000</v>
      </c>
      <c r="P458" s="103"/>
      <c r="Q458" s="103"/>
    </row>
    <row r="459" spans="2:17" x14ac:dyDescent="0.2">
      <c r="B459" s="684" t="s">
        <v>813</v>
      </c>
      <c r="C459" s="685"/>
      <c r="D459" s="685"/>
      <c r="P459" s="103"/>
      <c r="Q459" s="103"/>
    </row>
    <row r="460" spans="2:17" x14ac:dyDescent="0.2">
      <c r="P460" s="103"/>
      <c r="Q460" s="103"/>
    </row>
    <row r="461" spans="2:17" ht="15" x14ac:dyDescent="0.25">
      <c r="B461" s="523" t="s">
        <v>814</v>
      </c>
      <c r="F461" s="431"/>
      <c r="P461" s="103"/>
      <c r="Q461" s="103"/>
    </row>
    <row r="462" spans="2:17" x14ac:dyDescent="0.2">
      <c r="P462" s="103"/>
      <c r="Q462" s="103"/>
    </row>
    <row r="463" spans="2:17" ht="15" x14ac:dyDescent="0.25">
      <c r="B463" s="524" t="s">
        <v>815</v>
      </c>
      <c r="C463" s="524"/>
      <c r="D463" s="424"/>
      <c r="F463" s="431"/>
      <c r="P463" s="103"/>
      <c r="Q463" s="103"/>
    </row>
    <row r="464" spans="2:17" x14ac:dyDescent="0.2">
      <c r="B464" s="104" t="s">
        <v>816</v>
      </c>
      <c r="C464" s="54">
        <v>26000000</v>
      </c>
      <c r="D464" s="424"/>
      <c r="F464" s="431"/>
      <c r="P464" s="103"/>
      <c r="Q464" s="103"/>
    </row>
    <row r="465" spans="2:18" x14ac:dyDescent="0.2">
      <c r="B465" s="104" t="s">
        <v>817</v>
      </c>
      <c r="C465" s="54">
        <v>17000000</v>
      </c>
      <c r="D465" s="424"/>
      <c r="F465" s="431"/>
      <c r="J465" s="103"/>
      <c r="K465" s="103"/>
      <c r="L465" s="103"/>
      <c r="M465" s="103"/>
      <c r="N465" s="103"/>
      <c r="O465" s="103"/>
      <c r="P465" s="103"/>
      <c r="Q465" s="103"/>
    </row>
    <row r="466" spans="2:18" ht="15" x14ac:dyDescent="0.25">
      <c r="B466" s="524" t="s">
        <v>818</v>
      </c>
      <c r="C466" s="525">
        <f>SUM(C464:C465)</f>
        <v>43000000</v>
      </c>
      <c r="D466" s="424"/>
      <c r="F466" s="431"/>
      <c r="J466" s="103"/>
      <c r="K466" s="103"/>
      <c r="L466" s="103"/>
      <c r="M466" s="103"/>
      <c r="N466" s="103"/>
      <c r="O466" s="103"/>
      <c r="P466" s="103"/>
      <c r="Q466" s="103"/>
    </row>
    <row r="467" spans="2:18" x14ac:dyDescent="0.2">
      <c r="B467" s="102" t="s">
        <v>819</v>
      </c>
      <c r="F467" s="431"/>
    </row>
    <row r="468" spans="2:18" x14ac:dyDescent="0.2">
      <c r="F468" s="431"/>
    </row>
    <row r="469" spans="2:18" s="25" customFormat="1" ht="15" x14ac:dyDescent="0.25">
      <c r="B469" s="526" t="s">
        <v>820</v>
      </c>
      <c r="C469" s="527" t="s">
        <v>821</v>
      </c>
      <c r="D469" s="527" t="s">
        <v>55</v>
      </c>
      <c r="E469" s="527" t="s">
        <v>822</v>
      </c>
      <c r="F469" s="528"/>
    </row>
    <row r="470" spans="2:18" ht="24.75" customHeight="1" x14ac:dyDescent="0.2">
      <c r="B470" s="398" t="s">
        <v>823</v>
      </c>
      <c r="C470" s="105" t="s">
        <v>107</v>
      </c>
      <c r="D470" s="55">
        <v>225000</v>
      </c>
      <c r="E470" s="108" t="s">
        <v>824</v>
      </c>
      <c r="F470" s="431"/>
    </row>
    <row r="471" spans="2:18" ht="25.5" customHeight="1" x14ac:dyDescent="0.2">
      <c r="B471" s="529" t="s">
        <v>825</v>
      </c>
      <c r="C471" s="529" t="s">
        <v>826</v>
      </c>
      <c r="D471" s="480">
        <v>182000</v>
      </c>
      <c r="E471" s="108" t="s">
        <v>827</v>
      </c>
      <c r="F471" s="431"/>
    </row>
    <row r="472" spans="2:18" s="25" customFormat="1" ht="27" customHeight="1" x14ac:dyDescent="0.2">
      <c r="B472" s="529" t="s">
        <v>828</v>
      </c>
      <c r="C472" s="529" t="s">
        <v>829</v>
      </c>
      <c r="D472" s="480">
        <v>130000</v>
      </c>
      <c r="E472" s="108" t="s">
        <v>827</v>
      </c>
      <c r="F472" s="528"/>
    </row>
    <row r="473" spans="2:18" s="25" customFormat="1" ht="27" customHeight="1" x14ac:dyDescent="0.2">
      <c r="B473" s="529"/>
      <c r="C473" s="530"/>
      <c r="D473" s="531"/>
      <c r="E473" s="238"/>
      <c r="F473" s="528"/>
    </row>
    <row r="474" spans="2:18" ht="18" customHeight="1" x14ac:dyDescent="0.25">
      <c r="B474" s="523" t="s">
        <v>830</v>
      </c>
      <c r="C474" s="532"/>
      <c r="D474" s="532"/>
      <c r="E474" s="532"/>
      <c r="F474" s="532"/>
      <c r="G474" s="532"/>
      <c r="H474" s="532"/>
      <c r="I474" s="532"/>
      <c r="J474" s="532"/>
      <c r="K474" s="532"/>
      <c r="L474" s="532"/>
      <c r="M474" s="532"/>
      <c r="N474" s="532"/>
      <c r="O474" s="532"/>
      <c r="P474" s="532"/>
      <c r="Q474" s="532"/>
      <c r="R474" s="106"/>
    </row>
    <row r="475" spans="2:18" ht="15" x14ac:dyDescent="0.25">
      <c r="B475"/>
      <c r="C475" s="532"/>
      <c r="D475" s="532"/>
      <c r="E475" s="532"/>
      <c r="F475" s="532"/>
      <c r="G475" s="532"/>
      <c r="H475" s="532"/>
      <c r="I475" s="532"/>
      <c r="J475" s="532"/>
      <c r="K475" s="532"/>
      <c r="L475" s="532"/>
      <c r="M475" s="532"/>
      <c r="N475" s="532"/>
      <c r="O475" s="532"/>
      <c r="P475" s="532"/>
      <c r="Q475" s="532"/>
      <c r="R475" s="106"/>
    </row>
    <row r="476" spans="2:18" ht="15" x14ac:dyDescent="0.25">
      <c r="B476" s="533" t="s">
        <v>831</v>
      </c>
      <c r="C476" s="532"/>
      <c r="D476" s="532"/>
      <c r="E476" s="532"/>
      <c r="F476" s="532"/>
      <c r="G476" s="532"/>
      <c r="H476" s="532"/>
      <c r="I476" s="532"/>
      <c r="J476" s="532"/>
      <c r="K476" s="532"/>
      <c r="L476" s="532"/>
      <c r="M476" s="532"/>
      <c r="N476" s="532"/>
      <c r="O476" s="532"/>
      <c r="P476" s="532"/>
      <c r="Q476" s="532"/>
      <c r="R476" s="106"/>
    </row>
    <row r="477" spans="2:18" s="103" customFormat="1" ht="27.95" customHeight="1" x14ac:dyDescent="0.25">
      <c r="B477" s="534" t="s">
        <v>832</v>
      </c>
      <c r="C477" s="523" t="s">
        <v>55</v>
      </c>
      <c r="D477"/>
      <c r="E477" s="532"/>
      <c r="F477" s="532"/>
      <c r="G477" s="532"/>
      <c r="H477" s="532"/>
      <c r="I477" s="532"/>
      <c r="J477" s="532"/>
      <c r="K477" s="532"/>
      <c r="L477" s="532"/>
      <c r="M477" s="532"/>
      <c r="N477" s="532"/>
      <c r="O477" s="532"/>
      <c r="P477" s="532"/>
      <c r="Q477" s="532"/>
      <c r="R477" s="106"/>
    </row>
    <row r="478" spans="2:18" s="103" customFormat="1" ht="15" x14ac:dyDescent="0.25">
      <c r="B478" s="104" t="s">
        <v>833</v>
      </c>
      <c r="C478" s="535">
        <v>49350000</v>
      </c>
      <c r="D478"/>
      <c r="E478" s="532"/>
      <c r="F478" s="532"/>
      <c r="G478" s="532"/>
      <c r="H478" s="532"/>
      <c r="I478" s="532"/>
      <c r="J478" s="532"/>
      <c r="K478" s="532"/>
      <c r="L478" s="532"/>
      <c r="M478" s="532"/>
      <c r="N478" s="532"/>
      <c r="O478" s="532"/>
      <c r="P478" s="532"/>
      <c r="Q478" s="532"/>
      <c r="R478" s="106"/>
    </row>
    <row r="479" spans="2:18" ht="43.5" hidden="1" x14ac:dyDescent="0.25">
      <c r="B479" s="315" t="s">
        <v>834</v>
      </c>
      <c r="C479" s="535">
        <v>3448200000</v>
      </c>
      <c r="D479"/>
      <c r="E479" s="532"/>
      <c r="F479" s="532"/>
      <c r="G479" s="532"/>
      <c r="H479" s="532"/>
      <c r="I479" s="532"/>
      <c r="J479" s="532"/>
      <c r="K479" s="532"/>
      <c r="L479" s="532"/>
      <c r="M479" s="532"/>
      <c r="N479" s="532"/>
      <c r="O479" s="532"/>
      <c r="P479" s="532"/>
      <c r="Q479" s="532"/>
      <c r="R479" s="106"/>
    </row>
    <row r="480" spans="2:18" ht="43.5" hidden="1" x14ac:dyDescent="0.25">
      <c r="B480" s="315" t="s">
        <v>835</v>
      </c>
      <c r="C480" s="535">
        <v>7414400000</v>
      </c>
      <c r="D480"/>
      <c r="E480" s="532"/>
      <c r="F480" s="532"/>
      <c r="G480" s="532"/>
      <c r="H480" s="532"/>
      <c r="I480" s="532"/>
      <c r="J480" s="532"/>
      <c r="K480" s="532"/>
      <c r="L480" s="532"/>
      <c r="M480" s="532"/>
      <c r="N480" s="532"/>
      <c r="O480" s="532"/>
      <c r="P480" s="532"/>
      <c r="Q480" s="532"/>
      <c r="R480" s="106"/>
    </row>
    <row r="481" spans="2:18" ht="37.5" customHeight="1" x14ac:dyDescent="0.2">
      <c r="B481" s="536" t="s">
        <v>836</v>
      </c>
      <c r="C481" s="532"/>
      <c r="D481" s="532"/>
      <c r="E481" s="532"/>
      <c r="F481" s="532"/>
      <c r="G481" s="532"/>
      <c r="H481" s="532"/>
      <c r="I481" s="532"/>
      <c r="J481" s="532"/>
      <c r="K481" s="532"/>
      <c r="L481" s="532"/>
      <c r="M481" s="532"/>
      <c r="N481" s="532"/>
      <c r="O481" s="532"/>
      <c r="P481" s="532"/>
      <c r="Q481" s="532"/>
      <c r="R481" s="106"/>
    </row>
    <row r="482" spans="2:18" ht="15" x14ac:dyDescent="0.25">
      <c r="B482" s="537" t="s">
        <v>837</v>
      </c>
      <c r="C482" s="532"/>
      <c r="D482" s="532"/>
      <c r="E482" s="532"/>
      <c r="F482" s="532"/>
      <c r="G482" s="532"/>
      <c r="H482" s="532"/>
      <c r="I482" s="532"/>
      <c r="J482" s="532"/>
      <c r="K482" s="532"/>
      <c r="L482" s="532"/>
      <c r="M482" s="532"/>
      <c r="N482" s="532"/>
      <c r="O482" s="532"/>
      <c r="P482" s="532"/>
      <c r="Q482" s="532"/>
      <c r="R482" s="106"/>
    </row>
    <row r="483" spans="2:18" x14ac:dyDescent="0.2">
      <c r="B483" s="42"/>
      <c r="C483" s="538"/>
      <c r="E483" s="532"/>
      <c r="F483" s="532"/>
      <c r="G483" s="532"/>
      <c r="H483" s="532"/>
      <c r="I483" s="532"/>
      <c r="J483" s="532"/>
      <c r="K483" s="532"/>
      <c r="L483" s="532"/>
      <c r="M483" s="532"/>
      <c r="N483" s="532"/>
      <c r="O483" s="532"/>
      <c r="P483" s="532"/>
      <c r="Q483" s="532"/>
      <c r="R483" s="106"/>
    </row>
    <row r="484" spans="2:18" ht="15" x14ac:dyDescent="0.25">
      <c r="B484" s="533" t="s">
        <v>838</v>
      </c>
      <c r="C484"/>
      <c r="D484"/>
      <c r="E484"/>
      <c r="F484"/>
      <c r="G484"/>
      <c r="H484"/>
      <c r="I484"/>
      <c r="J484"/>
      <c r="K484"/>
      <c r="L484"/>
      <c r="M484"/>
      <c r="N484"/>
      <c r="O484"/>
      <c r="P484"/>
      <c r="Q484"/>
      <c r="R484"/>
    </row>
    <row r="485" spans="2:18" ht="15" x14ac:dyDescent="0.25">
      <c r="B485" s="533" t="s">
        <v>839</v>
      </c>
      <c r="C485" s="523" t="s">
        <v>55</v>
      </c>
      <c r="D485"/>
      <c r="E485"/>
      <c r="F485"/>
      <c r="G485"/>
      <c r="H485"/>
      <c r="I485"/>
      <c r="J485"/>
      <c r="K485"/>
      <c r="L485"/>
      <c r="M485"/>
      <c r="N485"/>
      <c r="O485"/>
      <c r="P485"/>
      <c r="Q485"/>
      <c r="R485"/>
    </row>
    <row r="486" spans="2:18" ht="15" x14ac:dyDescent="0.25">
      <c r="B486" s="105" t="s">
        <v>840</v>
      </c>
      <c r="C486" s="539">
        <f>300*1000*$C$281</f>
        <v>1115467500</v>
      </c>
      <c r="D486"/>
      <c r="E486"/>
      <c r="F486"/>
      <c r="G486"/>
      <c r="H486"/>
      <c r="I486"/>
      <c r="J486"/>
      <c r="K486"/>
      <c r="L486"/>
      <c r="M486"/>
      <c r="N486"/>
      <c r="O486"/>
      <c r="P486"/>
      <c r="Q486"/>
      <c r="R486"/>
    </row>
    <row r="487" spans="2:18" ht="29.25" x14ac:dyDescent="0.25">
      <c r="B487" s="398" t="s">
        <v>841</v>
      </c>
      <c r="C487" s="539">
        <f>300*3000*$C$281</f>
        <v>3346402500.0000005</v>
      </c>
      <c r="D487"/>
      <c r="E487"/>
      <c r="F487"/>
      <c r="G487"/>
      <c r="H487"/>
      <c r="I487"/>
      <c r="J487"/>
      <c r="K487"/>
      <c r="L487"/>
      <c r="M487"/>
      <c r="N487"/>
      <c r="O487"/>
      <c r="P487"/>
      <c r="Q487"/>
      <c r="R487"/>
    </row>
    <row r="488" spans="2:18" ht="29.25" x14ac:dyDescent="0.25">
      <c r="B488" s="398" t="s">
        <v>842</v>
      </c>
      <c r="C488" s="539">
        <f>300*9000*$C$281</f>
        <v>10039207500.000002</v>
      </c>
      <c r="D488"/>
      <c r="E488"/>
      <c r="F488"/>
      <c r="G488"/>
      <c r="H488"/>
      <c r="I488"/>
      <c r="J488"/>
      <c r="K488"/>
      <c r="L488"/>
      <c r="M488"/>
      <c r="N488"/>
      <c r="O488"/>
      <c r="P488"/>
      <c r="Q488"/>
      <c r="R488"/>
    </row>
    <row r="489" spans="2:18" ht="29.25" x14ac:dyDescent="0.25">
      <c r="B489" s="398" t="s">
        <v>843</v>
      </c>
      <c r="C489" s="539">
        <f>300*27000*$C$281</f>
        <v>30117622500.000004</v>
      </c>
      <c r="D489"/>
      <c r="E489"/>
      <c r="F489"/>
      <c r="G489"/>
      <c r="H489"/>
      <c r="I489"/>
      <c r="J489"/>
      <c r="K489"/>
      <c r="L489"/>
      <c r="M489"/>
      <c r="N489"/>
      <c r="O489"/>
      <c r="P489"/>
      <c r="Q489"/>
      <c r="R489"/>
    </row>
    <row r="490" spans="2:18" ht="15" x14ac:dyDescent="0.25">
      <c r="B490" s="228" t="s">
        <v>844</v>
      </c>
      <c r="C490" s="81"/>
      <c r="D490"/>
      <c r="E490"/>
      <c r="F490"/>
      <c r="G490"/>
      <c r="H490"/>
      <c r="I490"/>
      <c r="J490"/>
      <c r="K490"/>
      <c r="L490"/>
      <c r="M490"/>
      <c r="N490"/>
      <c r="O490"/>
      <c r="P490"/>
      <c r="Q490"/>
      <c r="R490"/>
    </row>
    <row r="491" spans="2:18" ht="15" x14ac:dyDescent="0.25">
      <c r="B491"/>
      <c r="C491"/>
      <c r="D491"/>
      <c r="E491"/>
      <c r="F491"/>
      <c r="G491"/>
      <c r="H491"/>
      <c r="I491"/>
      <c r="J491"/>
      <c r="K491"/>
      <c r="L491"/>
      <c r="M491"/>
      <c r="N491"/>
      <c r="O491"/>
      <c r="P491" s="25"/>
      <c r="Q491" s="25"/>
      <c r="R491" s="25"/>
    </row>
    <row r="492" spans="2:18" ht="15" x14ac:dyDescent="0.25">
      <c r="B492" s="533" t="s">
        <v>845</v>
      </c>
      <c r="C492" s="523" t="s">
        <v>55</v>
      </c>
      <c r="D492"/>
      <c r="E492"/>
      <c r="F492"/>
      <c r="G492"/>
      <c r="H492"/>
      <c r="I492"/>
      <c r="J492"/>
      <c r="K492"/>
      <c r="L492"/>
      <c r="M492"/>
      <c r="N492"/>
      <c r="O492"/>
      <c r="P492"/>
      <c r="Q492"/>
      <c r="R492"/>
    </row>
    <row r="493" spans="2:18" ht="15" x14ac:dyDescent="0.25">
      <c r="B493" s="105" t="s">
        <v>846</v>
      </c>
      <c r="C493" s="540">
        <v>80000000</v>
      </c>
      <c r="D493"/>
      <c r="E493"/>
      <c r="F493"/>
      <c r="G493"/>
      <c r="H493"/>
      <c r="I493"/>
      <c r="J493"/>
      <c r="K493"/>
      <c r="L493"/>
      <c r="M493"/>
      <c r="N493"/>
      <c r="O493"/>
      <c r="P493"/>
      <c r="Q493"/>
      <c r="R493"/>
    </row>
    <row r="494" spans="2:18" ht="15" x14ac:dyDescent="0.25">
      <c r="B494" s="105" t="s">
        <v>847</v>
      </c>
      <c r="C494" s="540">
        <v>87000000</v>
      </c>
      <c r="D494"/>
      <c r="E494"/>
      <c r="F494"/>
      <c r="G494"/>
      <c r="H494"/>
      <c r="I494"/>
      <c r="J494"/>
      <c r="K494"/>
      <c r="L494"/>
      <c r="M494"/>
      <c r="N494"/>
      <c r="O494"/>
      <c r="P494" s="25"/>
      <c r="Q494" s="25"/>
      <c r="R494" s="25"/>
    </row>
    <row r="495" spans="2:18" ht="15" x14ac:dyDescent="0.25">
      <c r="B495" s="102" t="s">
        <v>848</v>
      </c>
      <c r="C495" s="58"/>
      <c r="D495"/>
      <c r="E495"/>
      <c r="F495"/>
      <c r="G495"/>
      <c r="H495"/>
      <c r="I495"/>
      <c r="J495"/>
      <c r="K495"/>
      <c r="L495"/>
      <c r="M495"/>
      <c r="N495"/>
      <c r="O495"/>
      <c r="P495" s="25"/>
      <c r="Q495" s="25"/>
      <c r="R495" s="25"/>
    </row>
    <row r="496" spans="2:18" ht="15" x14ac:dyDescent="0.25">
      <c r="B496" s="541"/>
      <c r="C496" s="58"/>
      <c r="D496"/>
      <c r="E496"/>
      <c r="F496"/>
      <c r="G496"/>
      <c r="H496"/>
      <c r="I496"/>
      <c r="J496"/>
      <c r="K496"/>
      <c r="L496"/>
      <c r="M496"/>
      <c r="N496"/>
      <c r="O496"/>
    </row>
    <row r="497" spans="2:18" ht="15" x14ac:dyDescent="0.25">
      <c r="B497" s="461" t="s">
        <v>849</v>
      </c>
      <c r="C497" s="104"/>
      <c r="D497"/>
      <c r="E497"/>
      <c r="F497"/>
      <c r="G497"/>
      <c r="H497"/>
      <c r="I497"/>
      <c r="J497"/>
      <c r="K497"/>
      <c r="L497"/>
      <c r="M497"/>
      <c r="N497"/>
      <c r="O497"/>
    </row>
    <row r="498" spans="2:18" x14ac:dyDescent="0.2">
      <c r="B498" s="105" t="s">
        <v>850</v>
      </c>
      <c r="C498" s="540">
        <v>7500000</v>
      </c>
    </row>
    <row r="499" spans="2:18" x14ac:dyDescent="0.2">
      <c r="B499" s="105" t="s">
        <v>851</v>
      </c>
      <c r="C499" s="540">
        <v>9700000</v>
      </c>
    </row>
    <row r="500" spans="2:18" x14ac:dyDescent="0.2">
      <c r="B500" s="105" t="s">
        <v>852</v>
      </c>
      <c r="C500" s="540">
        <v>11500000</v>
      </c>
    </row>
    <row r="501" spans="2:18" x14ac:dyDescent="0.2">
      <c r="B501" s="228" t="s">
        <v>853</v>
      </c>
      <c r="C501" s="542"/>
    </row>
    <row r="502" spans="2:18" x14ac:dyDescent="0.2">
      <c r="B502" s="541"/>
      <c r="D502" s="543"/>
      <c r="E502" s="543"/>
      <c r="F502" s="543"/>
      <c r="G502" s="543"/>
      <c r="H502" s="543"/>
      <c r="I502" s="543"/>
      <c r="J502" s="543"/>
      <c r="K502" s="543"/>
      <c r="L502" s="543"/>
      <c r="M502" s="543"/>
      <c r="N502" s="543"/>
      <c r="O502" s="543"/>
      <c r="P502" s="543"/>
      <c r="Q502" s="543"/>
      <c r="R502" s="543"/>
    </row>
    <row r="503" spans="2:18" ht="15" x14ac:dyDescent="0.25">
      <c r="B503" s="533" t="s">
        <v>854</v>
      </c>
      <c r="C503" s="523" t="s">
        <v>55</v>
      </c>
      <c r="D503" s="543"/>
      <c r="E503" s="543"/>
      <c r="F503" s="543"/>
      <c r="G503" s="543"/>
      <c r="H503" s="543"/>
      <c r="I503" s="543"/>
      <c r="J503" s="543"/>
      <c r="K503" s="543"/>
      <c r="L503" s="543"/>
      <c r="M503" s="543"/>
      <c r="N503" s="543"/>
      <c r="O503" s="543"/>
      <c r="P503" s="543"/>
      <c r="Q503" s="543"/>
      <c r="R503" s="543"/>
    </row>
    <row r="504" spans="2:18" ht="57" x14ac:dyDescent="0.2">
      <c r="B504" s="398" t="s">
        <v>855</v>
      </c>
      <c r="C504" s="109">
        <f>8308794225*1.7</f>
        <v>14124950182.5</v>
      </c>
      <c r="D504" s="543"/>
      <c r="E504" s="543"/>
      <c r="F504" s="543"/>
      <c r="G504" s="543"/>
      <c r="H504" s="543"/>
      <c r="I504" s="543"/>
      <c r="J504" s="543"/>
      <c r="K504" s="543"/>
      <c r="L504" s="543"/>
      <c r="M504" s="543"/>
      <c r="N504" s="543"/>
      <c r="O504" s="543"/>
      <c r="P504" s="543"/>
      <c r="Q504" s="543"/>
      <c r="R504" s="543"/>
    </row>
    <row r="505" spans="2:18" x14ac:dyDescent="0.2">
      <c r="B505" s="105" t="s">
        <v>856</v>
      </c>
      <c r="C505" s="109">
        <f>1452133575*1.7</f>
        <v>2468627077.5</v>
      </c>
      <c r="D505" s="543"/>
      <c r="E505" s="543"/>
      <c r="F505" s="543"/>
      <c r="G505" s="543"/>
      <c r="H505" s="543"/>
      <c r="I505" s="543"/>
      <c r="J505" s="543"/>
      <c r="K505" s="543"/>
      <c r="L505" s="543"/>
      <c r="M505" s="543"/>
      <c r="N505" s="543"/>
      <c r="O505" s="543"/>
      <c r="P505" s="543"/>
      <c r="Q505" s="543"/>
      <c r="R505" s="543"/>
    </row>
    <row r="506" spans="2:18" x14ac:dyDescent="0.2">
      <c r="B506" s="544"/>
      <c r="C506" s="109">
        <f>+C505+C504</f>
        <v>16593577260</v>
      </c>
      <c r="D506" s="543"/>
      <c r="E506" s="543"/>
      <c r="F506" s="543"/>
      <c r="G506" s="543"/>
      <c r="H506" s="543"/>
      <c r="I506" s="543"/>
      <c r="J506" s="543"/>
      <c r="K506" s="543"/>
      <c r="L506" s="543"/>
      <c r="M506" s="543"/>
      <c r="N506" s="543"/>
      <c r="O506" s="543"/>
      <c r="P506" s="543"/>
      <c r="Q506" s="543"/>
      <c r="R506" s="543"/>
    </row>
    <row r="507" spans="2:18" ht="42.75" customHeight="1" x14ac:dyDescent="0.25">
      <c r="B507" s="536" t="s">
        <v>857</v>
      </c>
      <c r="D507"/>
      <c r="E507"/>
      <c r="F507"/>
      <c r="G507"/>
      <c r="H507"/>
      <c r="I507"/>
      <c r="J507" s="543"/>
      <c r="K507" s="543"/>
      <c r="L507" s="543"/>
      <c r="M507" s="543"/>
      <c r="N507" s="543"/>
      <c r="O507" s="543"/>
      <c r="P507" s="543"/>
      <c r="Q507" s="543"/>
      <c r="R507" s="543"/>
    </row>
    <row r="508" spans="2:18" x14ac:dyDescent="0.2">
      <c r="C508" s="116"/>
    </row>
    <row r="509" spans="2:18" x14ac:dyDescent="0.2">
      <c r="B509" s="545"/>
      <c r="C509" s="545"/>
      <c r="D509" s="546"/>
    </row>
    <row r="510" spans="2:18" ht="15" x14ac:dyDescent="0.25">
      <c r="B510" s="523" t="s">
        <v>858</v>
      </c>
    </row>
    <row r="511" spans="2:18" s="103" customFormat="1" x14ac:dyDescent="0.2">
      <c r="D511" s="102"/>
    </row>
    <row r="512" spans="2:18" s="103" customFormat="1" ht="15" x14ac:dyDescent="0.25">
      <c r="B512" s="523" t="s">
        <v>859</v>
      </c>
      <c r="D512" s="102"/>
    </row>
    <row r="513" spans="2:18" s="103" customFormat="1" ht="15" x14ac:dyDescent="0.25">
      <c r="B513" s="523" t="s">
        <v>728</v>
      </c>
      <c r="C513" s="523" t="s">
        <v>55</v>
      </c>
      <c r="D513" s="102"/>
    </row>
    <row r="514" spans="2:18" s="103" customFormat="1" x14ac:dyDescent="0.2">
      <c r="B514" s="481" t="s">
        <v>860</v>
      </c>
      <c r="C514" s="481">
        <v>193000</v>
      </c>
      <c r="D514" s="116"/>
    </row>
    <row r="515" spans="2:18" s="103" customFormat="1" x14ac:dyDescent="0.2">
      <c r="B515" s="481" t="s">
        <v>861</v>
      </c>
      <c r="C515" s="481">
        <v>5.8</v>
      </c>
      <c r="D515" s="102"/>
    </row>
    <row r="516" spans="2:18" s="103" customFormat="1" x14ac:dyDescent="0.2">
      <c r="B516" s="481" t="s">
        <v>862</v>
      </c>
      <c r="C516" s="481">
        <f>C514*C515</f>
        <v>1119400</v>
      </c>
      <c r="D516" s="102"/>
    </row>
    <row r="517" spans="2:18" s="103" customFormat="1" ht="19.5" customHeight="1" x14ac:dyDescent="0.25">
      <c r="B517" s="547" t="s">
        <v>863</v>
      </c>
      <c r="C517" s="548">
        <f>C516*20%</f>
        <v>223880</v>
      </c>
      <c r="D517" s="102"/>
    </row>
    <row r="518" spans="2:18" s="103" customFormat="1" ht="19.5" customHeight="1" x14ac:dyDescent="0.2">
      <c r="B518" s="481" t="s">
        <v>864</v>
      </c>
      <c r="C518" s="481">
        <v>1000000</v>
      </c>
      <c r="D518" s="431"/>
    </row>
    <row r="519" spans="2:18" s="103" customFormat="1" ht="19.5" customHeight="1" x14ac:dyDescent="0.2">
      <c r="B519" s="481" t="s">
        <v>865</v>
      </c>
      <c r="C519" s="549">
        <f>C517</f>
        <v>223880</v>
      </c>
      <c r="D519" s="431"/>
    </row>
    <row r="520" spans="2:18" s="103" customFormat="1" ht="19.5" customHeight="1" x14ac:dyDescent="0.2">
      <c r="B520" s="481" t="s">
        <v>866</v>
      </c>
      <c r="C520" s="550">
        <v>3.7499999999999999E-2</v>
      </c>
    </row>
    <row r="521" spans="2:18" s="103" customFormat="1" ht="19.5" customHeight="1" x14ac:dyDescent="0.2">
      <c r="B521" s="481" t="s">
        <v>867</v>
      </c>
      <c r="C521" s="217">
        <v>4.0000000000000002E-4</v>
      </c>
      <c r="D521" s="551"/>
    </row>
    <row r="522" spans="2:18" s="103" customFormat="1" ht="19.5" customHeight="1" x14ac:dyDescent="0.25">
      <c r="B522" s="49"/>
      <c r="C522" s="548">
        <f>C518*(C520+C521)</f>
        <v>37899.999999999993</v>
      </c>
    </row>
    <row r="523" spans="2:18" s="103" customFormat="1" ht="30.95" customHeight="1" x14ac:dyDescent="0.25">
      <c r="B523" s="552" t="s">
        <v>868</v>
      </c>
      <c r="C523" s="553">
        <f>+C522*C517</f>
        <v>8485051999.9999981</v>
      </c>
    </row>
    <row r="524" spans="2:18" s="103" customFormat="1" x14ac:dyDescent="0.2">
      <c r="C524" s="431"/>
      <c r="D524" s="431"/>
    </row>
    <row r="525" spans="2:18" s="103" customFormat="1" x14ac:dyDescent="0.2">
      <c r="C525" s="431"/>
      <c r="D525" s="431"/>
    </row>
    <row r="526" spans="2:18" s="103" customFormat="1" ht="15" x14ac:dyDescent="0.25">
      <c r="B526" s="523" t="s">
        <v>869</v>
      </c>
      <c r="C526" s="431"/>
      <c r="D526" s="431"/>
    </row>
    <row r="527" spans="2:18" x14ac:dyDescent="0.2">
      <c r="B527" s="554" t="s">
        <v>870</v>
      </c>
      <c r="C527" s="51">
        <v>38004</v>
      </c>
      <c r="D527" s="25"/>
      <c r="E527" s="25"/>
      <c r="F527" s="528"/>
      <c r="G527" s="25"/>
      <c r="H527" s="25"/>
      <c r="I527" s="392"/>
      <c r="J527" s="392"/>
      <c r="K527" s="25"/>
      <c r="L527" s="25"/>
      <c r="M527" s="25"/>
      <c r="N527" s="25"/>
      <c r="O527" s="25"/>
      <c r="P527" s="25"/>
      <c r="Q527" s="25"/>
      <c r="R527" s="25"/>
    </row>
    <row r="528" spans="2:18" ht="30" x14ac:dyDescent="0.2">
      <c r="B528" s="555" t="s">
        <v>871</v>
      </c>
      <c r="C528" s="556" t="s">
        <v>872</v>
      </c>
      <c r="D528" s="556" t="s">
        <v>873</v>
      </c>
      <c r="E528" s="556" t="s">
        <v>874</v>
      </c>
      <c r="F528" s="556" t="s">
        <v>875</v>
      </c>
      <c r="G528" s="556" t="s">
        <v>876</v>
      </c>
      <c r="H528" s="556" t="s">
        <v>877</v>
      </c>
      <c r="I528" s="392"/>
      <c r="J528" s="392"/>
      <c r="K528" s="25"/>
      <c r="L528" s="25"/>
      <c r="M528" s="25"/>
      <c r="N528" s="25"/>
      <c r="O528" s="25"/>
      <c r="P528" s="25"/>
      <c r="Q528" s="25"/>
      <c r="R528" s="25"/>
    </row>
    <row r="529" spans="2:18" ht="15" x14ac:dyDescent="0.2">
      <c r="B529" s="557" t="s">
        <v>878</v>
      </c>
      <c r="C529" s="558">
        <v>23563</v>
      </c>
      <c r="D529" s="559">
        <f>C527*C529</f>
        <v>895488252</v>
      </c>
      <c r="E529" s="560">
        <v>0.1</v>
      </c>
      <c r="F529" s="51">
        <f>D529*E529</f>
        <v>89548825.200000003</v>
      </c>
      <c r="G529" s="560">
        <v>0.1</v>
      </c>
      <c r="H529" s="561">
        <f>F529*G529</f>
        <v>8954882.5200000014</v>
      </c>
      <c r="I529" s="392"/>
      <c r="J529" s="392"/>
      <c r="K529" s="25"/>
      <c r="L529" s="25"/>
      <c r="M529" s="25"/>
      <c r="N529" s="25"/>
      <c r="O529" s="25"/>
      <c r="P529" s="25"/>
      <c r="Q529" s="25"/>
      <c r="R529" s="25"/>
    </row>
    <row r="530" spans="2:18" ht="15" x14ac:dyDescent="0.2">
      <c r="B530" s="562" t="s">
        <v>879</v>
      </c>
      <c r="C530" s="558">
        <v>204995</v>
      </c>
      <c r="D530" s="559">
        <f>C527*C530</f>
        <v>7790629980</v>
      </c>
      <c r="E530" s="560">
        <v>0.05</v>
      </c>
      <c r="F530" s="51">
        <f>D530*E530</f>
        <v>389531499</v>
      </c>
      <c r="G530" s="560">
        <v>0.05</v>
      </c>
      <c r="H530" s="561">
        <f>F530*G530</f>
        <v>19476574.949999999</v>
      </c>
      <c r="I530" s="392"/>
      <c r="J530" s="392"/>
      <c r="K530" s="25"/>
      <c r="L530" s="25"/>
      <c r="M530" s="25"/>
      <c r="N530" s="25"/>
      <c r="O530" s="25"/>
      <c r="P530" s="25"/>
      <c r="Q530" s="25"/>
      <c r="R530" s="25"/>
    </row>
    <row r="531" spans="2:18" x14ac:dyDescent="0.2">
      <c r="B531" s="557" t="s">
        <v>880</v>
      </c>
      <c r="C531" s="558">
        <v>1736565</v>
      </c>
      <c r="D531" s="559">
        <f>C527*C531</f>
        <v>65996416260</v>
      </c>
      <c r="E531" s="560"/>
      <c r="F531" s="51">
        <f>D531*E531</f>
        <v>0</v>
      </c>
      <c r="G531" s="560"/>
      <c r="H531" s="563">
        <f>F531*G531</f>
        <v>0</v>
      </c>
      <c r="I531" s="392"/>
      <c r="J531" s="392"/>
      <c r="K531" s="25"/>
      <c r="L531" s="25"/>
      <c r="M531" s="25"/>
      <c r="N531" s="25"/>
      <c r="O531" s="25"/>
      <c r="P531" s="25"/>
      <c r="Q531" s="25"/>
      <c r="R531" s="25"/>
    </row>
    <row r="532" spans="2:18" x14ac:dyDescent="0.2">
      <c r="B532" s="392"/>
      <c r="C532" s="564"/>
      <c r="D532" s="565"/>
      <c r="E532" s="566"/>
      <c r="F532" s="528"/>
      <c r="G532" s="566"/>
      <c r="H532" s="567"/>
      <c r="I532" s="392"/>
      <c r="J532" s="392"/>
      <c r="K532" s="25"/>
      <c r="L532" s="25"/>
      <c r="M532" s="25"/>
      <c r="N532" s="25"/>
      <c r="O532" s="25"/>
      <c r="P532" s="25"/>
      <c r="Q532" s="25"/>
      <c r="R532" s="25"/>
    </row>
    <row r="533" spans="2:18" x14ac:dyDescent="0.2">
      <c r="B533" s="392"/>
      <c r="C533" s="564"/>
      <c r="D533" s="565"/>
      <c r="E533" s="566"/>
      <c r="F533" s="528"/>
      <c r="G533" s="566"/>
      <c r="H533" s="567"/>
      <c r="I533" s="392"/>
      <c r="J533" s="392"/>
      <c r="K533" s="25"/>
      <c r="L533" s="25"/>
      <c r="M533" s="25"/>
      <c r="N533" s="25"/>
      <c r="O533" s="25"/>
      <c r="P533" s="25"/>
      <c r="Q533" s="25"/>
      <c r="R533" s="25"/>
    </row>
    <row r="534" spans="2:18" ht="23.25" customHeight="1" x14ac:dyDescent="0.25">
      <c r="B534" s="523" t="s">
        <v>881</v>
      </c>
      <c r="C534" s="568" t="s">
        <v>882</v>
      </c>
      <c r="D534" s="568" t="s">
        <v>883</v>
      </c>
      <c r="E534" s="568" t="s">
        <v>884</v>
      </c>
      <c r="F534" s="528"/>
      <c r="G534" s="566"/>
      <c r="H534" s="567"/>
      <c r="I534" s="392"/>
      <c r="J534" s="392"/>
      <c r="K534" s="25"/>
      <c r="L534" s="25"/>
      <c r="M534" s="25"/>
      <c r="N534" s="25"/>
      <c r="O534" s="25"/>
      <c r="P534" s="25"/>
      <c r="Q534" s="25"/>
      <c r="R534" s="25"/>
    </row>
    <row r="535" spans="2:18" ht="15" x14ac:dyDescent="0.25">
      <c r="B535" s="557" t="s">
        <v>885</v>
      </c>
      <c r="C535" s="569">
        <f>950000/19</f>
        <v>50000</v>
      </c>
      <c r="D535" s="558">
        <v>5</v>
      </c>
      <c r="E535" s="548">
        <f>C535*D535</f>
        <v>250000</v>
      </c>
      <c r="F535" s="528"/>
      <c r="G535" s="566"/>
      <c r="H535" s="567"/>
      <c r="I535" s="392"/>
      <c r="J535" s="392"/>
      <c r="K535" s="25"/>
      <c r="L535" s="25"/>
      <c r="M535" s="25"/>
      <c r="N535" s="25"/>
      <c r="O535" s="25"/>
      <c r="P535" s="25"/>
      <c r="Q535" s="25"/>
      <c r="R535" s="25"/>
    </row>
    <row r="536" spans="2:18" ht="15" x14ac:dyDescent="0.25">
      <c r="B536" s="557" t="s">
        <v>886</v>
      </c>
      <c r="C536" s="548">
        <v>100000</v>
      </c>
      <c r="D536" s="103"/>
      <c r="E536" s="103"/>
      <c r="F536" s="528"/>
      <c r="G536" s="566"/>
      <c r="H536" s="567"/>
      <c r="I536" s="392"/>
      <c r="J536" s="392"/>
      <c r="K536" s="25"/>
      <c r="L536" s="25"/>
      <c r="M536" s="25"/>
      <c r="N536" s="25"/>
      <c r="O536" s="25"/>
      <c r="P536" s="25"/>
      <c r="Q536" s="25"/>
      <c r="R536" s="25"/>
    </row>
    <row r="537" spans="2:18" s="103" customFormat="1" ht="19.5" customHeight="1" x14ac:dyDescent="0.25">
      <c r="B537" s="533" t="s">
        <v>887</v>
      </c>
      <c r="C537" s="535">
        <f>+E535*C536</f>
        <v>25000000000</v>
      </c>
    </row>
    <row r="538" spans="2:18" s="103" customFormat="1" ht="19.5" customHeight="1" x14ac:dyDescent="0.2">
      <c r="F538" s="102"/>
      <c r="G538" s="102"/>
      <c r="H538" s="102"/>
      <c r="I538" s="102"/>
      <c r="J538" s="102"/>
      <c r="K538" s="102"/>
      <c r="L538" s="102"/>
      <c r="M538" s="102"/>
      <c r="N538" s="102"/>
    </row>
    <row r="539" spans="2:18" s="103" customFormat="1" ht="19.5" customHeight="1" x14ac:dyDescent="0.25">
      <c r="B539" s="523" t="s">
        <v>888</v>
      </c>
    </row>
    <row r="540" spans="2:18" s="103" customFormat="1" ht="19.5" customHeight="1" x14ac:dyDescent="0.25">
      <c r="B540" s="523" t="s">
        <v>889</v>
      </c>
      <c r="C540" s="523" t="s">
        <v>890</v>
      </c>
      <c r="D540" s="523" t="s">
        <v>891</v>
      </c>
    </row>
    <row r="541" spans="2:18" s="103" customFormat="1" ht="15" x14ac:dyDescent="0.25">
      <c r="B541" s="481">
        <v>50000</v>
      </c>
      <c r="C541" s="49">
        <v>400</v>
      </c>
      <c r="D541" s="570">
        <f>B541/C541</f>
        <v>125</v>
      </c>
    </row>
    <row r="542" spans="2:18" s="103" customFormat="1" x14ac:dyDescent="0.2">
      <c r="B542" s="571"/>
    </row>
    <row r="543" spans="2:18" ht="15" x14ac:dyDescent="0.25">
      <c r="B543" s="523" t="s">
        <v>892</v>
      </c>
      <c r="C543" s="523" t="s">
        <v>55</v>
      </c>
      <c r="D543"/>
      <c r="E543"/>
      <c r="F543"/>
      <c r="G543"/>
      <c r="H543"/>
      <c r="I543"/>
      <c r="J543" s="543"/>
    </row>
    <row r="544" spans="2:18" ht="15" x14ac:dyDescent="0.25">
      <c r="B544" s="104" t="s">
        <v>893</v>
      </c>
      <c r="C544" s="535">
        <v>420000000</v>
      </c>
      <c r="D544"/>
      <c r="E544"/>
      <c r="F544"/>
      <c r="G544"/>
      <c r="H544"/>
      <c r="I544"/>
      <c r="J544" s="543"/>
    </row>
    <row r="545" spans="2:18" ht="15" x14ac:dyDescent="0.25">
      <c r="B545" s="104" t="s">
        <v>894</v>
      </c>
      <c r="C545" s="535">
        <v>455000000</v>
      </c>
      <c r="D545"/>
      <c r="E545"/>
      <c r="F545"/>
      <c r="G545"/>
      <c r="H545"/>
      <c r="I545"/>
      <c r="J545" s="543"/>
    </row>
    <row r="546" spans="2:18" ht="15" x14ac:dyDescent="0.25">
      <c r="B546" s="104" t="s">
        <v>895</v>
      </c>
      <c r="C546" s="535">
        <v>100000000</v>
      </c>
      <c r="D546"/>
      <c r="E546"/>
      <c r="F546"/>
      <c r="G546"/>
      <c r="H546"/>
      <c r="I546"/>
      <c r="J546" s="543"/>
    </row>
    <row r="547" spans="2:18" ht="15" x14ac:dyDescent="0.25">
      <c r="B547" s="104" t="s">
        <v>896</v>
      </c>
      <c r="C547" s="535">
        <v>189150000</v>
      </c>
      <c r="D547"/>
      <c r="E547"/>
      <c r="F547"/>
      <c r="G547"/>
      <c r="H547"/>
      <c r="I547"/>
      <c r="J547" s="543"/>
    </row>
    <row r="548" spans="2:18" ht="15" x14ac:dyDescent="0.25">
      <c r="B548" s="104" t="s">
        <v>897</v>
      </c>
      <c r="C548" s="535">
        <v>204100000</v>
      </c>
      <c r="D548"/>
      <c r="E548"/>
      <c r="F548"/>
      <c r="G548"/>
      <c r="H548"/>
      <c r="I548"/>
      <c r="J548" s="543"/>
    </row>
    <row r="549" spans="2:18" ht="15" x14ac:dyDescent="0.25">
      <c r="B549" s="104" t="s">
        <v>898</v>
      </c>
      <c r="C549" s="535">
        <v>1011400000</v>
      </c>
      <c r="D549"/>
      <c r="E549"/>
      <c r="F549"/>
      <c r="G549"/>
      <c r="H549"/>
      <c r="I549"/>
      <c r="J549" s="543"/>
    </row>
    <row r="550" spans="2:18" ht="15" x14ac:dyDescent="0.25">
      <c r="B550" s="104" t="s">
        <v>899</v>
      </c>
      <c r="C550" s="535">
        <v>139100000</v>
      </c>
      <c r="D550"/>
      <c r="E550"/>
      <c r="F550"/>
      <c r="G550"/>
      <c r="H550"/>
      <c r="I550"/>
      <c r="J550" s="543"/>
    </row>
    <row r="551" spans="2:18" ht="15" x14ac:dyDescent="0.25">
      <c r="B551" s="104" t="s">
        <v>900</v>
      </c>
      <c r="C551" s="535">
        <v>52000000</v>
      </c>
      <c r="D551"/>
      <c r="E551" s="543"/>
      <c r="F551" s="543"/>
      <c r="G551" s="543"/>
      <c r="H551" s="543"/>
      <c r="I551" s="543"/>
      <c r="J551" s="543"/>
    </row>
    <row r="552" spans="2:18" ht="15" x14ac:dyDescent="0.25">
      <c r="B552" s="533" t="s">
        <v>901</v>
      </c>
      <c r="C552" s="570">
        <f>SUM(C544:C551)</f>
        <v>2570750000</v>
      </c>
      <c r="D552"/>
      <c r="E552" s="543"/>
      <c r="F552" s="543"/>
      <c r="G552" s="543"/>
      <c r="H552" s="543"/>
      <c r="I552" s="543"/>
      <c r="J552" s="543"/>
    </row>
    <row r="553" spans="2:18" ht="15" x14ac:dyDescent="0.25">
      <c r="B553" t="s">
        <v>902</v>
      </c>
      <c r="C553"/>
      <c r="D553"/>
      <c r="E553" s="543"/>
      <c r="F553" s="543"/>
      <c r="G553" s="543"/>
      <c r="H553" s="543"/>
      <c r="I553" s="543"/>
      <c r="J553" s="543"/>
    </row>
    <row r="554" spans="2:18" s="103" customFormat="1" ht="12.95" customHeight="1" x14ac:dyDescent="0.2">
      <c r="B554" s="572"/>
    </row>
    <row r="555" spans="2:18" x14ac:dyDescent="0.2">
      <c r="C555" s="573"/>
      <c r="E555" s="566"/>
      <c r="F555" s="528"/>
      <c r="G555" s="566"/>
      <c r="H555" s="567"/>
      <c r="I555" s="392"/>
      <c r="J555" s="392"/>
      <c r="K555" s="25"/>
      <c r="L555" s="25"/>
      <c r="M555" s="25"/>
      <c r="N555" s="25"/>
      <c r="O555" s="25"/>
      <c r="P555" s="25"/>
      <c r="Q555" s="25"/>
      <c r="R555" s="25"/>
    </row>
    <row r="556" spans="2:18" ht="15" x14ac:dyDescent="0.25">
      <c r="B556" s="500" t="s">
        <v>903</v>
      </c>
      <c r="C556" s="564"/>
      <c r="F556" s="528"/>
      <c r="G556" s="566"/>
      <c r="H556" s="567"/>
      <c r="I556" s="392"/>
      <c r="J556" s="392"/>
      <c r="K556" s="25"/>
      <c r="L556" s="25"/>
      <c r="M556" s="25"/>
      <c r="N556" s="25"/>
      <c r="O556" s="25"/>
      <c r="P556" s="25"/>
      <c r="Q556" s="25"/>
      <c r="R556" s="25"/>
    </row>
    <row r="557" spans="2:18" x14ac:dyDescent="0.2">
      <c r="B557" s="557" t="s">
        <v>904</v>
      </c>
      <c r="C557" s="574">
        <v>1000000</v>
      </c>
      <c r="F557" s="528"/>
      <c r="G557" s="566"/>
      <c r="H557" s="567"/>
      <c r="I557" s="392"/>
      <c r="J557" s="392"/>
      <c r="K557" s="25"/>
      <c r="L557" s="25"/>
      <c r="M557" s="25"/>
      <c r="N557" s="25"/>
      <c r="O557" s="25"/>
      <c r="P557" s="25"/>
      <c r="Q557" s="25"/>
      <c r="R557" s="25"/>
    </row>
    <row r="558" spans="2:18" x14ac:dyDescent="0.2">
      <c r="B558" s="104" t="s">
        <v>905</v>
      </c>
      <c r="C558" s="558">
        <v>500</v>
      </c>
      <c r="F558" s="528"/>
      <c r="G558" s="566"/>
      <c r="H558" s="567"/>
      <c r="I558" s="392"/>
      <c r="J558" s="392"/>
      <c r="K558" s="25"/>
      <c r="L558" s="25"/>
      <c r="M558" s="25"/>
      <c r="N558" s="25"/>
      <c r="O558" s="25"/>
      <c r="P558" s="25"/>
      <c r="Q558" s="25"/>
      <c r="R558" s="25"/>
    </row>
    <row r="559" spans="2:18" ht="15" x14ac:dyDescent="0.25">
      <c r="B559" s="557" t="s">
        <v>906</v>
      </c>
      <c r="C559" s="570">
        <f>C557*C558</f>
        <v>500000000</v>
      </c>
      <c r="F559" s="528"/>
      <c r="G559" s="566"/>
      <c r="H559" s="567"/>
      <c r="I559" s="392"/>
      <c r="J559" s="392"/>
      <c r="K559" s="25"/>
      <c r="L559" s="25"/>
      <c r="M559" s="25"/>
      <c r="N559" s="25"/>
      <c r="O559" s="25"/>
      <c r="P559" s="25"/>
      <c r="Q559" s="25"/>
      <c r="R559" s="25"/>
    </row>
    <row r="560" spans="2:18" x14ac:dyDescent="0.2">
      <c r="B560" s="557" t="s">
        <v>907</v>
      </c>
      <c r="C560" s="575">
        <v>10</v>
      </c>
      <c r="D560" s="392"/>
      <c r="E560" s="576"/>
      <c r="F560" s="528"/>
      <c r="G560" s="566"/>
      <c r="H560" s="567"/>
      <c r="I560" s="392"/>
      <c r="J560" s="392"/>
      <c r="K560" s="25"/>
      <c r="L560" s="25"/>
      <c r="M560" s="25"/>
      <c r="N560" s="25"/>
      <c r="O560" s="25"/>
      <c r="P560" s="25"/>
      <c r="Q560" s="25"/>
      <c r="R560" s="25"/>
    </row>
    <row r="561" spans="2:18" x14ac:dyDescent="0.2">
      <c r="C561" s="538"/>
      <c r="D561" s="566"/>
      <c r="E561" s="566"/>
      <c r="F561" s="528"/>
      <c r="G561" s="566"/>
      <c r="H561" s="567"/>
      <c r="I561" s="392"/>
      <c r="J561" s="392"/>
      <c r="K561" s="25"/>
      <c r="L561" s="25"/>
      <c r="M561" s="25"/>
      <c r="N561" s="25"/>
      <c r="O561" s="25"/>
      <c r="P561" s="25"/>
      <c r="Q561" s="25"/>
      <c r="R561" s="25"/>
    </row>
    <row r="562" spans="2:18" x14ac:dyDescent="0.2">
      <c r="B562" s="572"/>
      <c r="C562" s="564"/>
      <c r="D562" s="565"/>
      <c r="E562" s="566"/>
      <c r="F562" s="528"/>
      <c r="G562" s="566"/>
      <c r="H562" s="567"/>
      <c r="I562" s="392"/>
      <c r="J562" s="392"/>
      <c r="K562" s="25"/>
      <c r="L562" s="25"/>
      <c r="M562" s="25"/>
      <c r="N562" s="25"/>
      <c r="O562" s="25"/>
      <c r="P562" s="25"/>
      <c r="Q562" s="25"/>
      <c r="R562" s="25"/>
    </row>
    <row r="563" spans="2:18" ht="15" x14ac:dyDescent="0.25">
      <c r="B563" s="577" t="s">
        <v>908</v>
      </c>
      <c r="C563" s="564"/>
      <c r="D563" s="565"/>
      <c r="E563" s="566"/>
      <c r="F563" s="528"/>
      <c r="G563" s="566"/>
      <c r="H563" s="567"/>
      <c r="I563" s="392"/>
      <c r="J563" s="392"/>
      <c r="K563" s="25"/>
      <c r="L563" s="25"/>
      <c r="M563" s="25"/>
      <c r="N563" s="25"/>
      <c r="O563" s="25"/>
      <c r="P563" s="25"/>
      <c r="Q563" s="25"/>
      <c r="R563" s="25"/>
    </row>
    <row r="564" spans="2:18" x14ac:dyDescent="0.2">
      <c r="B564" s="578" t="s">
        <v>909</v>
      </c>
      <c r="C564" s="558">
        <v>3000000</v>
      </c>
      <c r="D564" s="565"/>
      <c r="E564" s="566"/>
      <c r="F564" s="528"/>
      <c r="G564" s="566"/>
      <c r="H564" s="567"/>
      <c r="I564" s="392"/>
      <c r="J564" s="392"/>
      <c r="K564" s="25"/>
      <c r="L564" s="25"/>
      <c r="M564" s="25"/>
      <c r="N564" s="25"/>
      <c r="O564" s="25"/>
      <c r="P564" s="25"/>
      <c r="Q564" s="25"/>
      <c r="R564" s="25"/>
    </row>
    <row r="565" spans="2:18" x14ac:dyDescent="0.2">
      <c r="B565" s="578" t="s">
        <v>910</v>
      </c>
      <c r="C565" s="558">
        <v>19</v>
      </c>
      <c r="D565" s="565"/>
      <c r="E565" s="566"/>
      <c r="F565" s="528"/>
      <c r="G565" s="566"/>
      <c r="H565" s="567"/>
      <c r="I565" s="392"/>
      <c r="J565" s="392"/>
      <c r="K565" s="25"/>
      <c r="L565" s="25"/>
      <c r="M565" s="25"/>
      <c r="N565" s="25"/>
      <c r="O565" s="25"/>
      <c r="P565" s="25"/>
      <c r="Q565" s="25"/>
      <c r="R565" s="25"/>
    </row>
    <row r="566" spans="2:18" ht="15" x14ac:dyDescent="0.25">
      <c r="B566" s="500" t="s">
        <v>911</v>
      </c>
      <c r="C566" s="579">
        <f>C564/19</f>
        <v>157894.73684210525</v>
      </c>
      <c r="D566" s="565"/>
      <c r="E566" s="566"/>
      <c r="F566" s="528"/>
      <c r="G566" s="566"/>
      <c r="H566" s="567"/>
      <c r="I566" s="392"/>
      <c r="J566" s="392"/>
      <c r="K566" s="25"/>
      <c r="L566" s="25"/>
      <c r="M566" s="25"/>
      <c r="N566" s="25"/>
      <c r="O566" s="25"/>
      <c r="P566" s="25"/>
      <c r="Q566" s="25"/>
      <c r="R566" s="25"/>
    </row>
    <row r="567" spans="2:18" x14ac:dyDescent="0.2">
      <c r="B567" s="68" t="s">
        <v>912</v>
      </c>
      <c r="C567" s="580"/>
      <c r="D567" s="565"/>
      <c r="E567" s="566"/>
      <c r="F567" s="528"/>
      <c r="G567" s="566"/>
      <c r="H567" s="567"/>
      <c r="I567" s="392"/>
      <c r="J567" s="392"/>
      <c r="K567" s="25"/>
      <c r="L567" s="25"/>
      <c r="M567" s="25"/>
      <c r="N567" s="25"/>
      <c r="O567" s="25"/>
      <c r="P567" s="25"/>
      <c r="Q567" s="25"/>
      <c r="R567" s="25"/>
    </row>
    <row r="568" spans="2:18" customFormat="1" ht="15" x14ac:dyDescent="0.25"/>
    <row r="569" spans="2:18" customFormat="1" ht="45" x14ac:dyDescent="0.25">
      <c r="B569" s="581" t="s">
        <v>913</v>
      </c>
      <c r="C569" s="582" t="s">
        <v>914</v>
      </c>
      <c r="D569" s="582" t="s">
        <v>915</v>
      </c>
      <c r="E569" s="582" t="s">
        <v>916</v>
      </c>
      <c r="F569" s="582" t="s">
        <v>917</v>
      </c>
      <c r="G569" s="582" t="s">
        <v>918</v>
      </c>
      <c r="H569" s="582" t="s">
        <v>919</v>
      </c>
      <c r="I569" s="582" t="s">
        <v>920</v>
      </c>
      <c r="J569" s="582" t="s">
        <v>921</v>
      </c>
      <c r="K569" s="582" t="s">
        <v>922</v>
      </c>
      <c r="L569" s="582" t="s">
        <v>923</v>
      </c>
      <c r="M569" s="582" t="s">
        <v>924</v>
      </c>
      <c r="N569" s="583">
        <f>C566</f>
        <v>157894.73684210525</v>
      </c>
      <c r="O569" s="582" t="s">
        <v>925</v>
      </c>
    </row>
    <row r="570" spans="2:18" s="590" customFormat="1" ht="15" x14ac:dyDescent="0.2">
      <c r="B570" s="578" t="s">
        <v>926</v>
      </c>
      <c r="C570" s="558">
        <v>1000</v>
      </c>
      <c r="D570" s="558">
        <v>3</v>
      </c>
      <c r="E570" s="558">
        <v>330</v>
      </c>
      <c r="F570" s="558">
        <v>35</v>
      </c>
      <c r="G570" s="584">
        <v>0.3</v>
      </c>
      <c r="H570" s="585">
        <v>7.5</v>
      </c>
      <c r="I570" s="586">
        <f>(+C570/G570)/H570</f>
        <v>444.44444444444446</v>
      </c>
      <c r="J570" s="586">
        <f>I570*H570</f>
        <v>3333.3333333333335</v>
      </c>
      <c r="K570" s="587">
        <f>C582</f>
        <v>973962.3</v>
      </c>
      <c r="L570" s="588">
        <f>K570/C570</f>
        <v>973.96230000000003</v>
      </c>
      <c r="M570" s="586">
        <f>L570*$C$281</f>
        <v>3621410.9729175004</v>
      </c>
      <c r="N570" s="589">
        <v>0.1</v>
      </c>
      <c r="O570" s="188">
        <f>$N$569*N570</f>
        <v>15789.473684210527</v>
      </c>
    </row>
    <row r="571" spans="2:18" s="590" customFormat="1" ht="15" x14ac:dyDescent="0.2">
      <c r="B571" s="578" t="s">
        <v>927</v>
      </c>
      <c r="C571" s="558">
        <v>3000</v>
      </c>
      <c r="D571" s="558">
        <v>5</v>
      </c>
      <c r="E571" s="558">
        <v>600</v>
      </c>
      <c r="F571" s="558">
        <v>100</v>
      </c>
      <c r="G571" s="584">
        <v>0.3</v>
      </c>
      <c r="H571" s="585">
        <v>7.5</v>
      </c>
      <c r="I571" s="586">
        <f>(+C571/G571)/H571</f>
        <v>1333.3333333333333</v>
      </c>
      <c r="J571" s="586">
        <f>I571*H571</f>
        <v>10000</v>
      </c>
      <c r="K571" s="587">
        <f>D582</f>
        <v>2229332.2466666666</v>
      </c>
      <c r="L571" s="588">
        <f t="shared" ref="L571:L573" si="4">K571/C571</f>
        <v>743.11074888888891</v>
      </c>
      <c r="M571" s="586">
        <f>L571*$C$281</f>
        <v>2763052.9642873891</v>
      </c>
      <c r="N571" s="589">
        <v>0.4</v>
      </c>
      <c r="O571" s="188">
        <f t="shared" ref="O571:O573" si="5">$N$569*N571</f>
        <v>63157.894736842107</v>
      </c>
    </row>
    <row r="572" spans="2:18" s="590" customFormat="1" ht="15" x14ac:dyDescent="0.2">
      <c r="B572" s="578" t="s">
        <v>928</v>
      </c>
      <c r="C572" s="558">
        <v>9000</v>
      </c>
      <c r="D572" s="558">
        <v>3</v>
      </c>
      <c r="E572" s="558">
        <v>3000</v>
      </c>
      <c r="F572" s="558">
        <v>300</v>
      </c>
      <c r="G572" s="584">
        <v>0.3</v>
      </c>
      <c r="H572" s="585">
        <v>7.5</v>
      </c>
      <c r="I572" s="586">
        <f>(+C572/G572)/H572</f>
        <v>4000</v>
      </c>
      <c r="J572" s="586">
        <f>I572*H572</f>
        <v>30000</v>
      </c>
      <c r="K572" s="587">
        <f>E582</f>
        <v>5393129.5819364265</v>
      </c>
      <c r="L572" s="588">
        <f t="shared" si="4"/>
        <v>599.2366202151585</v>
      </c>
      <c r="M572" s="586">
        <f>L572*$C$281</f>
        <v>2228096.5821995079</v>
      </c>
      <c r="N572" s="589">
        <v>0.3</v>
      </c>
      <c r="O572" s="188">
        <f t="shared" si="5"/>
        <v>47368.421052631573</v>
      </c>
    </row>
    <row r="573" spans="2:18" s="590" customFormat="1" ht="15" x14ac:dyDescent="0.2">
      <c r="B573" s="578" t="s">
        <v>929</v>
      </c>
      <c r="C573" s="558">
        <v>27000</v>
      </c>
      <c r="D573" s="558">
        <v>6</v>
      </c>
      <c r="E573" s="558">
        <v>4500</v>
      </c>
      <c r="F573" s="558">
        <v>600</v>
      </c>
      <c r="G573" s="584">
        <v>0.3</v>
      </c>
      <c r="H573" s="585">
        <v>7.5</v>
      </c>
      <c r="I573" s="586">
        <f>(+C573/G573)/H573</f>
        <v>12000</v>
      </c>
      <c r="J573" s="586">
        <f>I573*H573</f>
        <v>90000</v>
      </c>
      <c r="K573" s="587">
        <f>F582</f>
        <v>9837397.2125342749</v>
      </c>
      <c r="L573" s="588">
        <f t="shared" si="4"/>
        <v>364.34804490867685</v>
      </c>
      <c r="M573" s="586">
        <f>L573*$C$281</f>
        <v>1354728.0092805652</v>
      </c>
      <c r="N573" s="589">
        <v>0.2</v>
      </c>
      <c r="O573" s="188">
        <f t="shared" si="5"/>
        <v>31578.947368421053</v>
      </c>
      <c r="P573" s="591"/>
    </row>
    <row r="574" spans="2:18" s="590" customFormat="1" ht="15" x14ac:dyDescent="0.25">
      <c r="B574" s="592"/>
      <c r="C574" s="564"/>
      <c r="D574" s="564"/>
      <c r="E574" s="564"/>
      <c r="F574" s="564"/>
      <c r="G574" s="593"/>
      <c r="H574" s="594"/>
      <c r="I574" s="595"/>
      <c r="J574" s="596"/>
      <c r="K574" s="596"/>
      <c r="L574" s="596"/>
      <c r="M574"/>
      <c r="P574" s="591"/>
    </row>
    <row r="575" spans="2:18" s="590" customFormat="1" ht="30" x14ac:dyDescent="0.25">
      <c r="B575" s="581" t="s">
        <v>930</v>
      </c>
      <c r="C575" s="582" t="s">
        <v>931</v>
      </c>
      <c r="D575" s="582" t="s">
        <v>932</v>
      </c>
      <c r="E575" s="582" t="s">
        <v>933</v>
      </c>
      <c r="F575" s="582" t="s">
        <v>934</v>
      </c>
      <c r="G575" s="593"/>
      <c r="H575" s="594"/>
      <c r="I575" s="595"/>
      <c r="J575" s="596"/>
      <c r="K575" s="596"/>
      <c r="L575" s="596"/>
      <c r="M575"/>
      <c r="P575" s="591"/>
    </row>
    <row r="576" spans="2:18" s="590" customFormat="1" ht="15" x14ac:dyDescent="0.2">
      <c r="B576" s="597" t="s">
        <v>935</v>
      </c>
      <c r="C576" s="558">
        <v>269187.33333333337</v>
      </c>
      <c r="D576" s="558">
        <v>838037.2888888889</v>
      </c>
      <c r="E576" s="558">
        <v>1331097.473058529</v>
      </c>
      <c r="F576" s="558">
        <v>2620770.4378746701</v>
      </c>
      <c r="G576" s="593"/>
      <c r="H576" s="594"/>
      <c r="I576" s="595"/>
      <c r="J576" s="596"/>
      <c r="K576" s="596"/>
      <c r="L576" s="596"/>
      <c r="P576" s="591"/>
    </row>
    <row r="577" spans="2:18" s="590" customFormat="1" ht="15" x14ac:dyDescent="0.2">
      <c r="B577" s="597" t="s">
        <v>936</v>
      </c>
      <c r="C577" s="558">
        <v>234375</v>
      </c>
      <c r="D577" s="558">
        <v>312500</v>
      </c>
      <c r="E577" s="558">
        <v>1250000</v>
      </c>
      <c r="F577" s="558">
        <v>2187500</v>
      </c>
      <c r="G577" s="593"/>
      <c r="H577" s="594"/>
      <c r="I577" s="595"/>
      <c r="J577" s="596"/>
      <c r="K577" s="596"/>
      <c r="L577" s="596"/>
      <c r="P577" s="591"/>
    </row>
    <row r="578" spans="2:18" customFormat="1" ht="15" x14ac:dyDescent="0.25">
      <c r="B578" s="597" t="s">
        <v>937</v>
      </c>
      <c r="C578" s="558">
        <v>53837.466666666674</v>
      </c>
      <c r="D578" s="558">
        <v>167607.45777777777</v>
      </c>
      <c r="E578" s="558">
        <v>244355.02554456377</v>
      </c>
      <c r="F578" s="558">
        <v>369587.71215960418</v>
      </c>
      <c r="G578" s="596"/>
      <c r="H578" s="596"/>
      <c r="I578" s="596"/>
      <c r="J578" s="596"/>
      <c r="K578" s="596"/>
      <c r="L578" s="596"/>
      <c r="N578" s="598"/>
      <c r="O578" s="599"/>
    </row>
    <row r="579" spans="2:18" customFormat="1" ht="15" x14ac:dyDescent="0.25">
      <c r="B579" s="597" t="s">
        <v>938</v>
      </c>
      <c r="C579" s="558">
        <v>246250</v>
      </c>
      <c r="D579" s="558">
        <v>594000</v>
      </c>
      <c r="E579" s="558">
        <v>1487989.5833333335</v>
      </c>
      <c r="F579" s="558">
        <v>2551007.8125</v>
      </c>
      <c r="G579" s="596"/>
      <c r="H579" s="596"/>
      <c r="I579" s="596"/>
      <c r="J579" s="596"/>
      <c r="K579" s="596"/>
      <c r="L579" s="596"/>
    </row>
    <row r="580" spans="2:18" customFormat="1" ht="15" x14ac:dyDescent="0.25">
      <c r="B580" s="597" t="s">
        <v>939</v>
      </c>
      <c r="C580" s="558">
        <v>46875</v>
      </c>
      <c r="D580" s="558">
        <v>78125</v>
      </c>
      <c r="E580" s="558">
        <v>312500</v>
      </c>
      <c r="F580" s="558">
        <v>574218.75</v>
      </c>
      <c r="G580" s="596"/>
      <c r="H580" s="596"/>
      <c r="I580" s="596"/>
      <c r="J580" s="596"/>
      <c r="K580" s="596"/>
      <c r="L580" s="596"/>
      <c r="N580" s="598"/>
      <c r="O580" s="600"/>
    </row>
    <row r="581" spans="2:18" customFormat="1" ht="15" x14ac:dyDescent="0.25">
      <c r="B581" s="601" t="s">
        <v>778</v>
      </c>
      <c r="C581" s="558">
        <v>123437.5</v>
      </c>
      <c r="D581" s="558">
        <v>239062.5</v>
      </c>
      <c r="E581" s="558">
        <v>767187.5</v>
      </c>
      <c r="F581" s="558">
        <v>1534312.5</v>
      </c>
      <c r="G581" s="596"/>
      <c r="H581" s="596"/>
      <c r="I581" s="596"/>
      <c r="J581" s="596"/>
      <c r="K581" s="596"/>
      <c r="L581" s="596"/>
      <c r="N581" s="598"/>
      <c r="O581" s="599"/>
    </row>
    <row r="582" spans="2:18" customFormat="1" ht="15" x14ac:dyDescent="0.25">
      <c r="B582" s="581" t="s">
        <v>940</v>
      </c>
      <c r="C582" s="561">
        <f>SUM(C576:C581)</f>
        <v>973962.3</v>
      </c>
      <c r="D582" s="561">
        <f t="shared" ref="D582:F582" si="6">SUM(D576:D581)</f>
        <v>2229332.2466666666</v>
      </c>
      <c r="E582" s="561">
        <f t="shared" si="6"/>
        <v>5393129.5819364265</v>
      </c>
      <c r="F582" s="561">
        <f t="shared" si="6"/>
        <v>9837397.2125342749</v>
      </c>
      <c r="G582" s="596"/>
      <c r="H582" s="596"/>
      <c r="I582" s="596"/>
      <c r="J582" s="596"/>
      <c r="K582" s="596"/>
      <c r="L582" s="596"/>
    </row>
    <row r="583" spans="2:18" customFormat="1" ht="15" x14ac:dyDescent="0.25">
      <c r="N583" s="598"/>
      <c r="O583" s="600"/>
    </row>
    <row r="584" spans="2:18" ht="15" x14ac:dyDescent="0.25">
      <c r="B584" s="500" t="s">
        <v>941</v>
      </c>
      <c r="C584" s="25"/>
      <c r="D584" s="25"/>
      <c r="E584" s="25"/>
      <c r="F584" s="528"/>
      <c r="G584" s="25"/>
      <c r="H584" s="25"/>
      <c r="I584" s="392"/>
      <c r="J584" s="392"/>
      <c r="K584" s="25"/>
      <c r="L584" s="25"/>
      <c r="M584" s="25"/>
      <c r="N584" s="25"/>
      <c r="O584" s="25"/>
      <c r="P584" s="25"/>
      <c r="Q584" s="25"/>
      <c r="R584" s="25"/>
    </row>
    <row r="585" spans="2:18" x14ac:dyDescent="0.2">
      <c r="B585" s="554" t="s">
        <v>870</v>
      </c>
      <c r="C585" s="51">
        <f>C527</f>
        <v>38004</v>
      </c>
      <c r="D585" s="25"/>
      <c r="E585" s="25"/>
      <c r="F585" s="528"/>
      <c r="G585" s="25"/>
      <c r="H585" s="25"/>
      <c r="I585" s="392"/>
      <c r="J585" s="392"/>
      <c r="K585" s="25"/>
      <c r="L585" s="25"/>
      <c r="M585" s="25"/>
      <c r="N585" s="25"/>
      <c r="O585" s="25"/>
      <c r="P585" s="25"/>
      <c r="Q585" s="25"/>
      <c r="R585" s="25"/>
    </row>
    <row r="586" spans="2:18" ht="30" x14ac:dyDescent="0.2">
      <c r="B586" s="555" t="s">
        <v>871</v>
      </c>
      <c r="C586" s="582" t="s">
        <v>872</v>
      </c>
      <c r="D586" s="582" t="s">
        <v>873</v>
      </c>
      <c r="E586" s="582" t="s">
        <v>942</v>
      </c>
      <c r="F586" s="582" t="s">
        <v>943</v>
      </c>
      <c r="G586" s="582" t="s">
        <v>944</v>
      </c>
      <c r="H586" s="582" t="s">
        <v>877</v>
      </c>
      <c r="I586" s="392"/>
      <c r="J586" s="392"/>
      <c r="K586" s="25"/>
      <c r="L586" s="25"/>
      <c r="M586" s="25"/>
      <c r="N586" s="25"/>
      <c r="O586" s="25"/>
      <c r="P586" s="25"/>
      <c r="Q586" s="25"/>
      <c r="R586" s="25"/>
    </row>
    <row r="587" spans="2:18" x14ac:dyDescent="0.2">
      <c r="B587" s="557" t="s">
        <v>878</v>
      </c>
      <c r="C587" s="558">
        <v>23563</v>
      </c>
      <c r="D587" s="559">
        <f>C585*C587</f>
        <v>895488252</v>
      </c>
      <c r="E587" s="560">
        <v>0.1</v>
      </c>
      <c r="F587" s="51">
        <f>D587*E587</f>
        <v>89548825.200000003</v>
      </c>
      <c r="G587" s="560">
        <v>0.1</v>
      </c>
      <c r="H587" s="602">
        <f>F587*G587</f>
        <v>8954882.5200000014</v>
      </c>
      <c r="I587" s="392"/>
      <c r="J587" s="392"/>
      <c r="K587" s="25"/>
      <c r="L587" s="25"/>
      <c r="M587" s="25"/>
      <c r="N587" s="25"/>
      <c r="O587" s="25"/>
      <c r="P587" s="25"/>
      <c r="Q587" s="25"/>
      <c r="R587" s="25"/>
    </row>
    <row r="588" spans="2:18" x14ac:dyDescent="0.2">
      <c r="B588" s="562" t="s">
        <v>879</v>
      </c>
      <c r="C588" s="558">
        <v>204995</v>
      </c>
      <c r="D588" s="559">
        <f>C585*C588</f>
        <v>7790629980</v>
      </c>
      <c r="E588" s="560">
        <v>0.05</v>
      </c>
      <c r="F588" s="51">
        <f>D588*E588</f>
        <v>389531499</v>
      </c>
      <c r="G588" s="560">
        <v>0.05</v>
      </c>
      <c r="H588" s="563">
        <f>F588*G588</f>
        <v>19476574.949999999</v>
      </c>
      <c r="I588" s="392"/>
      <c r="J588" s="392"/>
      <c r="K588" s="25"/>
      <c r="L588" s="25"/>
      <c r="M588" s="25"/>
      <c r="N588" s="25"/>
      <c r="O588" s="25"/>
      <c r="P588" s="25"/>
      <c r="Q588" s="25"/>
      <c r="R588" s="25"/>
    </row>
    <row r="589" spans="2:18" x14ac:dyDescent="0.2">
      <c r="B589" s="557" t="s">
        <v>880</v>
      </c>
      <c r="C589" s="558">
        <v>1736565</v>
      </c>
      <c r="D589" s="559">
        <f>C585*C589</f>
        <v>65996416260</v>
      </c>
      <c r="E589" s="560">
        <v>0.03</v>
      </c>
      <c r="F589" s="51">
        <f>D589*E589</f>
        <v>1979892487.8</v>
      </c>
      <c r="G589" s="560">
        <v>0.02</v>
      </c>
      <c r="H589" s="563">
        <f>F589*G589</f>
        <v>39597849.755999997</v>
      </c>
      <c r="I589" s="392"/>
      <c r="J589" s="392"/>
      <c r="K589" s="25"/>
      <c r="L589" s="25"/>
      <c r="M589" s="25"/>
      <c r="N589" s="25"/>
      <c r="O589" s="25"/>
      <c r="P589" s="25"/>
      <c r="Q589" s="25"/>
      <c r="R589" s="25"/>
    </row>
    <row r="590" spans="2:18" x14ac:dyDescent="0.2">
      <c r="B590" s="392"/>
      <c r="C590" s="564"/>
      <c r="D590" s="565"/>
      <c r="E590" s="566"/>
      <c r="F590" s="528"/>
      <c r="G590" s="566"/>
      <c r="H590" s="567"/>
      <c r="I590" s="392"/>
      <c r="J590" s="392"/>
      <c r="K590" s="25"/>
      <c r="L590" s="25"/>
      <c r="M590" s="25"/>
      <c r="N590" s="25"/>
      <c r="O590" s="25"/>
      <c r="P590" s="25"/>
      <c r="Q590" s="25"/>
      <c r="R590" s="25"/>
    </row>
    <row r="591" spans="2:18" ht="15" x14ac:dyDescent="0.25">
      <c r="B591" s="577" t="s">
        <v>945</v>
      </c>
      <c r="C591" s="543"/>
      <c r="D591" s="543"/>
    </row>
    <row r="592" spans="2:18" x14ac:dyDescent="0.2">
      <c r="B592" s="55" t="s">
        <v>946</v>
      </c>
      <c r="C592" s="540">
        <v>50000</v>
      </c>
      <c r="D592" s="543"/>
    </row>
    <row r="593" spans="2:18" x14ac:dyDescent="0.2">
      <c r="B593" s="55" t="s">
        <v>947</v>
      </c>
      <c r="C593" s="547">
        <v>0.3</v>
      </c>
      <c r="D593" s="543"/>
    </row>
    <row r="594" spans="2:18" x14ac:dyDescent="0.2">
      <c r="B594" s="396" t="s">
        <v>948</v>
      </c>
      <c r="C594" s="540">
        <f>+C592*C593</f>
        <v>15000</v>
      </c>
      <c r="D594" s="543"/>
    </row>
    <row r="595" spans="2:18" ht="15" x14ac:dyDescent="0.2">
      <c r="B595" s="396" t="s">
        <v>949</v>
      </c>
      <c r="C595" s="603">
        <v>1500000</v>
      </c>
      <c r="D595" s="543"/>
    </row>
    <row r="596" spans="2:18" s="103" customFormat="1" ht="15" x14ac:dyDescent="0.25">
      <c r="B596" s="604"/>
      <c r="C596" s="605"/>
      <c r="D596" s="605"/>
      <c r="E596" s="605"/>
      <c r="F596" s="605"/>
      <c r="G596" s="605"/>
      <c r="H596" s="605"/>
      <c r="I596" s="605"/>
    </row>
    <row r="597" spans="2:18" ht="15" x14ac:dyDescent="0.25">
      <c r="B597" s="500" t="s">
        <v>950</v>
      </c>
      <c r="C597" s="25"/>
      <c r="D597" s="25"/>
      <c r="E597" s="25"/>
      <c r="F597" s="528"/>
      <c r="G597" s="25"/>
      <c r="H597" s="25"/>
    </row>
    <row r="598" spans="2:18" x14ac:dyDescent="0.2">
      <c r="B598" s="554" t="s">
        <v>870</v>
      </c>
      <c r="C598" s="51">
        <v>38004</v>
      </c>
      <c r="D598" s="25"/>
      <c r="E598" s="25"/>
      <c r="F598" s="528"/>
      <c r="G598" s="25"/>
      <c r="H598" s="25"/>
    </row>
    <row r="599" spans="2:18" ht="45" x14ac:dyDescent="0.2">
      <c r="B599" s="606" t="s">
        <v>871</v>
      </c>
      <c r="C599" s="607" t="s">
        <v>872</v>
      </c>
      <c r="D599" s="607" t="s">
        <v>873</v>
      </c>
      <c r="E599" s="607" t="s">
        <v>951</v>
      </c>
      <c r="F599" s="607" t="s">
        <v>952</v>
      </c>
      <c r="G599" s="607" t="s">
        <v>953</v>
      </c>
      <c r="H599" s="607" t="s">
        <v>954</v>
      </c>
    </row>
    <row r="600" spans="2:18" ht="15" x14ac:dyDescent="0.2">
      <c r="B600" s="557" t="s">
        <v>878</v>
      </c>
      <c r="C600" s="558">
        <v>23563</v>
      </c>
      <c r="D600" s="559">
        <f>+C598*C600</f>
        <v>895488252</v>
      </c>
      <c r="E600" s="560">
        <v>0.03</v>
      </c>
      <c r="F600" s="51">
        <f>+D600*E600</f>
        <v>26864647.559999999</v>
      </c>
      <c r="G600" s="560">
        <v>0.4</v>
      </c>
      <c r="H600" s="603">
        <f>F600*G600</f>
        <v>10745859.024</v>
      </c>
    </row>
    <row r="601" spans="2:18" ht="15" x14ac:dyDescent="0.2">
      <c r="B601" s="562" t="s">
        <v>879</v>
      </c>
      <c r="C601" s="558">
        <v>204995</v>
      </c>
      <c r="D601" s="559">
        <f>+C598*C601</f>
        <v>7790629980</v>
      </c>
      <c r="E601" s="560">
        <v>0.02</v>
      </c>
      <c r="F601" s="51">
        <f>+D601*E601</f>
        <v>155812599.59999999</v>
      </c>
      <c r="G601" s="560">
        <v>0.25</v>
      </c>
      <c r="H601" s="603">
        <f>F601*G601</f>
        <v>38953149.899999999</v>
      </c>
    </row>
    <row r="602" spans="2:18" ht="15" x14ac:dyDescent="0.2">
      <c r="B602" s="557" t="s">
        <v>880</v>
      </c>
      <c r="C602" s="558">
        <v>1736565</v>
      </c>
      <c r="D602" s="559">
        <f>+C598*C602</f>
        <v>65996416260</v>
      </c>
      <c r="E602" s="608">
        <v>5.0000000000000001E-3</v>
      </c>
      <c r="F602" s="51">
        <f>+D602*E602</f>
        <v>329982081.30000001</v>
      </c>
      <c r="G602" s="560">
        <v>0.2</v>
      </c>
      <c r="H602" s="603">
        <f>F602*G602</f>
        <v>65996416.260000005</v>
      </c>
    </row>
    <row r="604" spans="2:18" x14ac:dyDescent="0.2">
      <c r="B604" s="543"/>
      <c r="C604" s="543"/>
      <c r="D604" s="543"/>
      <c r="E604" s="543"/>
      <c r="F604" s="543"/>
      <c r="G604" s="543"/>
      <c r="H604" s="543"/>
      <c r="I604" s="543"/>
      <c r="J604" s="543"/>
      <c r="K604" s="543"/>
      <c r="L604" s="543"/>
      <c r="M604" s="543"/>
      <c r="N604" s="543"/>
      <c r="O604" s="543"/>
      <c r="P604" s="543"/>
      <c r="Q604" s="543"/>
      <c r="R604" s="543"/>
    </row>
    <row r="605" spans="2:18" ht="15" x14ac:dyDescent="0.25">
      <c r="B605" s="609" t="s">
        <v>955</v>
      </c>
      <c r="C605" s="610"/>
      <c r="D605" s="543"/>
      <c r="E605" s="543"/>
      <c r="F605" s="543"/>
      <c r="G605" s="543"/>
      <c r="H605" s="543"/>
      <c r="I605" s="543"/>
      <c r="J605" s="543"/>
    </row>
    <row r="606" spans="2:18" x14ac:dyDescent="0.2">
      <c r="B606" s="610" t="s">
        <v>956</v>
      </c>
      <c r="C606" s="52">
        <v>70000000</v>
      </c>
      <c r="D606" s="543"/>
      <c r="E606" s="543"/>
      <c r="F606" s="543"/>
      <c r="G606" s="543"/>
      <c r="H606" s="543"/>
      <c r="I606" s="543"/>
      <c r="J606" s="543"/>
    </row>
    <row r="607" spans="2:18" x14ac:dyDescent="0.2">
      <c r="B607" s="610" t="s">
        <v>957</v>
      </c>
      <c r="C607" s="610">
        <v>30</v>
      </c>
      <c r="D607" s="543"/>
      <c r="E607" s="543"/>
      <c r="F607" s="543"/>
      <c r="G607" s="543"/>
      <c r="H607" s="543"/>
      <c r="I607" s="543"/>
      <c r="J607" s="543"/>
    </row>
    <row r="608" spans="2:18" ht="15" x14ac:dyDescent="0.2">
      <c r="B608" s="610" t="s">
        <v>958</v>
      </c>
      <c r="C608" s="603">
        <f>C606*30%</f>
        <v>21000000</v>
      </c>
      <c r="D608" s="543"/>
      <c r="E608" s="543"/>
      <c r="F608" s="543"/>
      <c r="G608" s="543"/>
      <c r="H608" s="543"/>
      <c r="I608" s="543"/>
      <c r="J608" s="543"/>
    </row>
    <row r="609" spans="2:10" x14ac:dyDescent="0.2">
      <c r="B609" s="543"/>
      <c r="C609" s="543"/>
      <c r="D609" s="543"/>
      <c r="E609" s="543"/>
      <c r="F609" s="543"/>
      <c r="G609" s="543"/>
      <c r="H609" s="543"/>
      <c r="I609" s="543"/>
      <c r="J609" s="543"/>
    </row>
    <row r="610" spans="2:10" ht="15" x14ac:dyDescent="0.25">
      <c r="B610" s="609" t="s">
        <v>959</v>
      </c>
      <c r="C610" s="611">
        <v>50000</v>
      </c>
      <c r="D610" s="543"/>
      <c r="E610" s="543"/>
      <c r="F610" s="543"/>
      <c r="G610" s="543"/>
      <c r="H610" s="543"/>
      <c r="I610" s="543"/>
      <c r="J610" s="543"/>
    </row>
    <row r="611" spans="2:10" ht="15" x14ac:dyDescent="0.2">
      <c r="B611" s="610" t="s">
        <v>960</v>
      </c>
      <c r="C611" s="603">
        <f>C610*50%</f>
        <v>25000</v>
      </c>
      <c r="D611" s="543"/>
      <c r="E611" s="543"/>
      <c r="F611" s="543"/>
      <c r="G611" s="543"/>
      <c r="H611" s="543"/>
      <c r="I611" s="543"/>
      <c r="J611" s="543"/>
    </row>
    <row r="612" spans="2:10" x14ac:dyDescent="0.2">
      <c r="B612" s="543"/>
      <c r="C612" s="543"/>
      <c r="D612" s="543"/>
      <c r="E612" s="543"/>
      <c r="F612" s="543"/>
      <c r="G612" s="543"/>
      <c r="H612" s="543"/>
      <c r="I612" s="543"/>
      <c r="J612" s="543"/>
    </row>
    <row r="613" spans="2:10" s="103" customFormat="1" ht="15" x14ac:dyDescent="0.25">
      <c r="B613" s="50"/>
      <c r="D613" s="612"/>
    </row>
    <row r="614" spans="2:10" ht="15" x14ac:dyDescent="0.25">
      <c r="B614" s="609" t="s">
        <v>961</v>
      </c>
      <c r="C614" s="543"/>
      <c r="D614" s="543"/>
      <c r="E614" s="543"/>
      <c r="F614" s="543"/>
      <c r="G614" s="543"/>
      <c r="H614" s="543"/>
      <c r="I614" s="543"/>
      <c r="J614" s="543"/>
    </row>
    <row r="615" spans="2:10" ht="15" x14ac:dyDescent="0.2">
      <c r="B615" s="610" t="s">
        <v>962</v>
      </c>
      <c r="C615" s="603">
        <v>300000</v>
      </c>
      <c r="D615" s="543"/>
      <c r="E615" s="543"/>
      <c r="F615" s="543"/>
      <c r="G615" s="543"/>
      <c r="H615" s="543"/>
      <c r="I615" s="543"/>
      <c r="J615" s="543"/>
    </row>
    <row r="616" spans="2:10" x14ac:dyDescent="0.2">
      <c r="B616" s="613"/>
      <c r="C616" s="614"/>
      <c r="D616" s="543"/>
      <c r="E616" s="543"/>
      <c r="F616" s="543"/>
      <c r="G616" s="543"/>
      <c r="H616" s="543"/>
      <c r="I616" s="543"/>
      <c r="J616" s="543"/>
    </row>
    <row r="617" spans="2:10" ht="15" x14ac:dyDescent="0.25">
      <c r="B617" s="609" t="s">
        <v>963</v>
      </c>
      <c r="C617" s="615"/>
      <c r="D617" s="543"/>
      <c r="E617" s="543"/>
      <c r="F617" s="543"/>
      <c r="G617" s="543"/>
      <c r="H617" s="543"/>
      <c r="I617" s="543"/>
      <c r="J617" s="543"/>
    </row>
    <row r="618" spans="2:10" x14ac:dyDescent="0.2">
      <c r="B618" s="615" t="s">
        <v>964</v>
      </c>
      <c r="C618" s="616">
        <v>50000</v>
      </c>
      <c r="D618" s="543"/>
      <c r="E618" s="543"/>
      <c r="F618" s="543"/>
      <c r="G618" s="543"/>
      <c r="H618" s="543"/>
      <c r="I618" s="543"/>
      <c r="J618" s="543"/>
    </row>
    <row r="619" spans="2:10" ht="15" x14ac:dyDescent="0.2">
      <c r="B619" s="615" t="s">
        <v>964</v>
      </c>
      <c r="C619" s="603">
        <v>600000</v>
      </c>
      <c r="D619" s="543"/>
      <c r="E619" s="543"/>
      <c r="F619" s="543"/>
      <c r="G619" s="543"/>
      <c r="H619" s="543"/>
      <c r="I619" s="543"/>
      <c r="J619" s="543"/>
    </row>
    <row r="620" spans="2:10" x14ac:dyDescent="0.2">
      <c r="D620" s="543"/>
      <c r="E620" s="543"/>
      <c r="F620" s="543"/>
      <c r="G620" s="543"/>
      <c r="H620" s="543"/>
      <c r="I620" s="543"/>
      <c r="J620" s="543"/>
    </row>
    <row r="621" spans="2:10" ht="15" x14ac:dyDescent="0.25">
      <c r="B621" s="467" t="s">
        <v>965</v>
      </c>
      <c r="C621" s="467" t="s">
        <v>690</v>
      </c>
    </row>
    <row r="622" spans="2:10" x14ac:dyDescent="0.2">
      <c r="B622" s="481" t="s">
        <v>966</v>
      </c>
      <c r="C622" s="481">
        <f>100000+ (10000*20)</f>
        <v>300000</v>
      </c>
      <c r="D622" s="53"/>
    </row>
    <row r="623" spans="2:10" x14ac:dyDescent="0.2">
      <c r="B623" s="481" t="s">
        <v>967</v>
      </c>
      <c r="C623" s="481">
        <f>500000</f>
        <v>500000</v>
      </c>
      <c r="D623" s="53"/>
    </row>
    <row r="624" spans="2:10" x14ac:dyDescent="0.2">
      <c r="B624" s="104" t="s">
        <v>692</v>
      </c>
      <c r="C624" s="54">
        <f>150000*5</f>
        <v>750000</v>
      </c>
    </row>
    <row r="625" spans="1:10" x14ac:dyDescent="0.2">
      <c r="B625" s="104" t="s">
        <v>693</v>
      </c>
      <c r="C625" s="54">
        <f>30000*2</f>
        <v>60000</v>
      </c>
    </row>
    <row r="626" spans="1:10" ht="15" x14ac:dyDescent="0.25">
      <c r="B626" s="467" t="s">
        <v>33</v>
      </c>
      <c r="C626" s="483">
        <f>SUM(C622:C625)</f>
        <v>1610000</v>
      </c>
      <c r="D626" s="116"/>
    </row>
    <row r="627" spans="1:10" ht="15" x14ac:dyDescent="0.25">
      <c r="B627" s="617">
        <v>0.3</v>
      </c>
      <c r="C627" s="483">
        <f>C626*B627</f>
        <v>483000</v>
      </c>
      <c r="D627" s="116"/>
    </row>
    <row r="628" spans="1:10" x14ac:dyDescent="0.2">
      <c r="B628" s="116"/>
      <c r="C628" s="116"/>
      <c r="D628" s="116"/>
    </row>
    <row r="629" spans="1:10" x14ac:dyDescent="0.2">
      <c r="B629" s="543"/>
      <c r="C629" s="543"/>
      <c r="D629" s="543"/>
      <c r="E629" s="543"/>
      <c r="F629" s="543"/>
      <c r="G629" s="543"/>
      <c r="H629" s="543"/>
      <c r="I629" s="543"/>
      <c r="J629" s="543"/>
    </row>
    <row r="630" spans="1:10" ht="15" x14ac:dyDescent="0.25">
      <c r="B630" s="467" t="s">
        <v>968</v>
      </c>
      <c r="C630" s="618"/>
      <c r="D630" s="543"/>
      <c r="E630" s="543"/>
      <c r="F630" s="543"/>
      <c r="G630" s="543"/>
      <c r="H630" s="543"/>
      <c r="I630" s="543"/>
      <c r="J630" s="543"/>
    </row>
    <row r="631" spans="1:10" ht="15" x14ac:dyDescent="0.25">
      <c r="B631" s="467" t="s">
        <v>324</v>
      </c>
      <c r="C631" s="467" t="s">
        <v>969</v>
      </c>
      <c r="D631" s="543"/>
      <c r="E631" s="467" t="s">
        <v>970</v>
      </c>
      <c r="F631" s="467" t="s">
        <v>971</v>
      </c>
      <c r="G631" s="467" t="s">
        <v>972</v>
      </c>
      <c r="H631" s="543"/>
      <c r="I631" s="543"/>
      <c r="J631" s="543"/>
    </row>
    <row r="632" spans="1:10" ht="15" x14ac:dyDescent="0.25">
      <c r="A632" s="104"/>
      <c r="B632" s="467" t="s">
        <v>973</v>
      </c>
      <c r="C632" s="467">
        <v>3</v>
      </c>
      <c r="D632" s="467" t="s">
        <v>974</v>
      </c>
      <c r="E632" s="610">
        <v>300</v>
      </c>
      <c r="F632" s="619">
        <f>D23+C123</f>
        <v>4316384</v>
      </c>
      <c r="G632" s="610">
        <v>8</v>
      </c>
      <c r="H632" s="543"/>
      <c r="I632" s="543"/>
      <c r="J632" s="543"/>
    </row>
    <row r="633" spans="1:10" x14ac:dyDescent="0.2">
      <c r="A633" s="615">
        <v>1</v>
      </c>
      <c r="B633" s="620">
        <v>170000</v>
      </c>
      <c r="C633" s="620">
        <f>B633/2</f>
        <v>85000</v>
      </c>
      <c r="D633" s="55">
        <f>C633/3</f>
        <v>28333.333333333332</v>
      </c>
      <c r="E633" s="621">
        <f>D633/E$632</f>
        <v>94.444444444444443</v>
      </c>
      <c r="F633" s="621">
        <f>E633*F$632</f>
        <v>407658488.8888889</v>
      </c>
      <c r="G633" s="621">
        <f>F633*G$632</f>
        <v>3261267911.1111112</v>
      </c>
      <c r="H633" s="543"/>
      <c r="I633" s="543"/>
      <c r="J633" s="543"/>
    </row>
    <row r="634" spans="1:10" x14ac:dyDescent="0.2">
      <c r="A634" s="615">
        <v>2</v>
      </c>
      <c r="B634" s="55">
        <f xml:space="preserve"> B633-(B633*0.06)</f>
        <v>159800</v>
      </c>
      <c r="C634" s="620">
        <f t="shared" ref="C634:C652" si="7">B634/2</f>
        <v>79900</v>
      </c>
      <c r="D634" s="55">
        <f t="shared" ref="D634:D652" si="8">C634/3</f>
        <v>26633.333333333332</v>
      </c>
      <c r="E634" s="621">
        <f t="shared" ref="E634:E652" si="9">D634/E$632</f>
        <v>88.777777777777771</v>
      </c>
      <c r="F634" s="621">
        <f t="shared" ref="F634:G652" si="10">E634*F$632</f>
        <v>383198979.55555552</v>
      </c>
      <c r="G634" s="621">
        <f t="shared" si="10"/>
        <v>3065591836.4444442</v>
      </c>
      <c r="H634" s="543"/>
      <c r="I634" s="543"/>
      <c r="J634" s="543"/>
    </row>
    <row r="635" spans="1:10" x14ac:dyDescent="0.2">
      <c r="A635" s="615">
        <v>3</v>
      </c>
      <c r="B635" s="55">
        <f t="shared" ref="B635:B652" si="11" xml:space="preserve"> B634-(B634*0.06)</f>
        <v>150212</v>
      </c>
      <c r="C635" s="620">
        <f t="shared" si="7"/>
        <v>75106</v>
      </c>
      <c r="D635" s="55">
        <f t="shared" si="8"/>
        <v>25035.333333333332</v>
      </c>
      <c r="E635" s="621">
        <f t="shared" si="9"/>
        <v>83.451111111111103</v>
      </c>
      <c r="F635" s="621">
        <f t="shared" si="10"/>
        <v>360207040.78222221</v>
      </c>
      <c r="G635" s="621">
        <f t="shared" si="10"/>
        <v>2881656326.2577777</v>
      </c>
      <c r="H635" s="543"/>
      <c r="I635" s="543"/>
      <c r="J635" s="543"/>
    </row>
    <row r="636" spans="1:10" x14ac:dyDescent="0.2">
      <c r="A636" s="615">
        <v>4</v>
      </c>
      <c r="B636" s="55">
        <f t="shared" si="11"/>
        <v>141199.28</v>
      </c>
      <c r="C636" s="620">
        <f t="shared" si="7"/>
        <v>70599.64</v>
      </c>
      <c r="D636" s="55">
        <f t="shared" si="8"/>
        <v>23533.213333333333</v>
      </c>
      <c r="E636" s="621">
        <f t="shared" si="9"/>
        <v>78.444044444444444</v>
      </c>
      <c r="F636" s="621">
        <f t="shared" si="10"/>
        <v>338594618.33528888</v>
      </c>
      <c r="G636" s="621">
        <f t="shared" si="10"/>
        <v>2708756946.6823111</v>
      </c>
      <c r="H636" s="543"/>
      <c r="I636" s="543"/>
      <c r="J636" s="543"/>
    </row>
    <row r="637" spans="1:10" x14ac:dyDescent="0.2">
      <c r="A637" s="615">
        <v>5</v>
      </c>
      <c r="B637" s="55">
        <f t="shared" si="11"/>
        <v>132727.32319999998</v>
      </c>
      <c r="C637" s="620">
        <f t="shared" si="7"/>
        <v>66363.661599999992</v>
      </c>
      <c r="D637" s="55">
        <f t="shared" si="8"/>
        <v>22121.22053333333</v>
      </c>
      <c r="E637" s="621">
        <f t="shared" si="9"/>
        <v>73.737401777777762</v>
      </c>
      <c r="F637" s="621">
        <f t="shared" si="10"/>
        <v>318278941.2351715</v>
      </c>
      <c r="G637" s="621">
        <f t="shared" si="10"/>
        <v>2546231529.881372</v>
      </c>
      <c r="H637" s="543"/>
      <c r="I637" s="543"/>
      <c r="J637" s="543"/>
    </row>
    <row r="638" spans="1:10" x14ac:dyDescent="0.2">
      <c r="A638" s="615">
        <v>6</v>
      </c>
      <c r="B638" s="55">
        <f t="shared" si="11"/>
        <v>124763.68380799999</v>
      </c>
      <c r="C638" s="620">
        <f t="shared" si="7"/>
        <v>62381.841903999994</v>
      </c>
      <c r="D638" s="55">
        <f t="shared" si="8"/>
        <v>20793.94730133333</v>
      </c>
      <c r="E638" s="621">
        <f t="shared" si="9"/>
        <v>69.313157671111099</v>
      </c>
      <c r="F638" s="621">
        <f t="shared" si="10"/>
        <v>299182204.76106119</v>
      </c>
      <c r="G638" s="621">
        <f t="shared" si="10"/>
        <v>2393457638.0884895</v>
      </c>
      <c r="H638" s="543"/>
      <c r="I638" s="543"/>
      <c r="J638" s="543"/>
    </row>
    <row r="639" spans="1:10" x14ac:dyDescent="0.2">
      <c r="A639" s="615">
        <v>7</v>
      </c>
      <c r="B639" s="55">
        <f t="shared" si="11"/>
        <v>117277.86277951999</v>
      </c>
      <c r="C639" s="620">
        <f t="shared" si="7"/>
        <v>58638.931389759993</v>
      </c>
      <c r="D639" s="55">
        <f t="shared" si="8"/>
        <v>19546.310463253332</v>
      </c>
      <c r="E639" s="621">
        <f t="shared" si="9"/>
        <v>65.154368210844439</v>
      </c>
      <c r="F639" s="621">
        <f t="shared" si="10"/>
        <v>281231272.47539759</v>
      </c>
      <c r="G639" s="621">
        <f t="shared" si="10"/>
        <v>2249850179.8031807</v>
      </c>
      <c r="H639" s="543"/>
      <c r="I639" s="543"/>
      <c r="J639" s="543"/>
    </row>
    <row r="640" spans="1:10" x14ac:dyDescent="0.2">
      <c r="A640" s="615">
        <v>8</v>
      </c>
      <c r="B640" s="55">
        <f t="shared" si="11"/>
        <v>110241.19101274879</v>
      </c>
      <c r="C640" s="620">
        <f t="shared" si="7"/>
        <v>55120.595506374397</v>
      </c>
      <c r="D640" s="55">
        <f t="shared" si="8"/>
        <v>18373.531835458132</v>
      </c>
      <c r="E640" s="621">
        <f t="shared" si="9"/>
        <v>61.245106118193775</v>
      </c>
      <c r="F640" s="621">
        <f t="shared" si="10"/>
        <v>264357396.12687373</v>
      </c>
      <c r="G640" s="621">
        <f t="shared" si="10"/>
        <v>2114859169.0149899</v>
      </c>
      <c r="H640" s="543"/>
      <c r="I640" s="543"/>
      <c r="J640" s="543"/>
    </row>
    <row r="641" spans="1:18" x14ac:dyDescent="0.2">
      <c r="A641" s="615">
        <v>9</v>
      </c>
      <c r="B641" s="55">
        <f t="shared" si="11"/>
        <v>103626.71955198387</v>
      </c>
      <c r="C641" s="620">
        <f t="shared" si="7"/>
        <v>51813.359775991936</v>
      </c>
      <c r="D641" s="55">
        <f t="shared" si="8"/>
        <v>17271.119925330644</v>
      </c>
      <c r="E641" s="621">
        <f t="shared" si="9"/>
        <v>57.570399751102144</v>
      </c>
      <c r="F641" s="621">
        <f t="shared" si="10"/>
        <v>248495952.35926127</v>
      </c>
      <c r="G641" s="621">
        <f t="shared" si="10"/>
        <v>1987967618.8740902</v>
      </c>
      <c r="H641" s="543"/>
      <c r="I641" s="543"/>
      <c r="J641" s="543"/>
    </row>
    <row r="642" spans="1:18" x14ac:dyDescent="0.2">
      <c r="A642" s="615">
        <v>10</v>
      </c>
      <c r="B642" s="55">
        <f t="shared" si="11"/>
        <v>97409.116378864841</v>
      </c>
      <c r="C642" s="620">
        <f t="shared" si="7"/>
        <v>48704.55818943242</v>
      </c>
      <c r="D642" s="55">
        <f t="shared" si="8"/>
        <v>16234.852729810807</v>
      </c>
      <c r="E642" s="621">
        <f t="shared" si="9"/>
        <v>54.116175766036022</v>
      </c>
      <c r="F642" s="621">
        <f t="shared" si="10"/>
        <v>233586195.21770564</v>
      </c>
      <c r="G642" s="621">
        <f t="shared" si="10"/>
        <v>1868689561.7416451</v>
      </c>
      <c r="H642" s="543"/>
      <c r="I642" s="543"/>
      <c r="J642" s="543"/>
    </row>
    <row r="643" spans="1:18" x14ac:dyDescent="0.2">
      <c r="A643" s="615">
        <v>11</v>
      </c>
      <c r="B643" s="55">
        <f t="shared" si="11"/>
        <v>91564.569396132953</v>
      </c>
      <c r="C643" s="620">
        <f t="shared" si="7"/>
        <v>45782.284698066476</v>
      </c>
      <c r="D643" s="55">
        <f t="shared" si="8"/>
        <v>15260.761566022158</v>
      </c>
      <c r="E643" s="621">
        <f t="shared" si="9"/>
        <v>50.869205220073859</v>
      </c>
      <c r="F643" s="621">
        <f t="shared" si="10"/>
        <v>219571023.50464329</v>
      </c>
      <c r="G643" s="621">
        <f t="shared" si="10"/>
        <v>1756568188.0371463</v>
      </c>
      <c r="H643" s="543"/>
      <c r="I643" s="543"/>
      <c r="J643" s="543"/>
    </row>
    <row r="644" spans="1:18" x14ac:dyDescent="0.2">
      <c r="A644" s="615">
        <v>12</v>
      </c>
      <c r="B644" s="55">
        <f t="shared" si="11"/>
        <v>86070.695232364975</v>
      </c>
      <c r="C644" s="620">
        <f t="shared" si="7"/>
        <v>43035.347616182487</v>
      </c>
      <c r="D644" s="55">
        <f t="shared" si="8"/>
        <v>14345.115872060829</v>
      </c>
      <c r="E644" s="621">
        <f t="shared" si="9"/>
        <v>47.817052906869428</v>
      </c>
      <c r="F644" s="621">
        <f t="shared" si="10"/>
        <v>206396762.0943647</v>
      </c>
      <c r="G644" s="621">
        <f t="shared" si="10"/>
        <v>1651174096.7549176</v>
      </c>
      <c r="H644" s="543"/>
      <c r="I644" s="543"/>
      <c r="J644" s="543"/>
    </row>
    <row r="645" spans="1:18" x14ac:dyDescent="0.2">
      <c r="A645" s="615">
        <v>13</v>
      </c>
      <c r="B645" s="55">
        <f t="shared" si="11"/>
        <v>80906.453518423077</v>
      </c>
      <c r="C645" s="620">
        <f t="shared" si="7"/>
        <v>40453.226759211539</v>
      </c>
      <c r="D645" s="55">
        <f t="shared" si="8"/>
        <v>13484.40891973718</v>
      </c>
      <c r="E645" s="621">
        <f t="shared" si="9"/>
        <v>44.948029732457265</v>
      </c>
      <c r="F645" s="621">
        <f t="shared" si="10"/>
        <v>194012956.36870283</v>
      </c>
      <c r="G645" s="621">
        <f t="shared" si="10"/>
        <v>1552103650.9496226</v>
      </c>
      <c r="H645" s="543"/>
      <c r="I645" s="543"/>
      <c r="J645" s="543"/>
    </row>
    <row r="646" spans="1:18" x14ac:dyDescent="0.2">
      <c r="A646" s="615">
        <v>14</v>
      </c>
      <c r="B646" s="55">
        <f t="shared" si="11"/>
        <v>76052.066307317698</v>
      </c>
      <c r="C646" s="620">
        <f t="shared" si="7"/>
        <v>38026.033153658849</v>
      </c>
      <c r="D646" s="55">
        <f t="shared" si="8"/>
        <v>12675.344384552949</v>
      </c>
      <c r="E646" s="621">
        <f t="shared" si="9"/>
        <v>42.251147948509832</v>
      </c>
      <c r="F646" s="621">
        <f t="shared" si="10"/>
        <v>182372178.98658067</v>
      </c>
      <c r="G646" s="621">
        <f t="shared" si="10"/>
        <v>1458977431.8926454</v>
      </c>
      <c r="H646" s="543"/>
      <c r="I646" s="543"/>
      <c r="J646" s="543"/>
    </row>
    <row r="647" spans="1:18" x14ac:dyDescent="0.2">
      <c r="A647" s="615">
        <v>15</v>
      </c>
      <c r="B647" s="55">
        <f t="shared" si="11"/>
        <v>71488.942328878635</v>
      </c>
      <c r="C647" s="620">
        <f t="shared" si="7"/>
        <v>35744.471164439317</v>
      </c>
      <c r="D647" s="55">
        <f t="shared" si="8"/>
        <v>11914.823721479772</v>
      </c>
      <c r="E647" s="621">
        <f t="shared" si="9"/>
        <v>39.716079071599239</v>
      </c>
      <c r="F647" s="621">
        <f t="shared" si="10"/>
        <v>171429848.2473858</v>
      </c>
      <c r="G647" s="621">
        <f t="shared" si="10"/>
        <v>1371438785.9790864</v>
      </c>
      <c r="H647" s="543"/>
      <c r="I647" s="543"/>
      <c r="J647" s="543"/>
    </row>
    <row r="648" spans="1:18" x14ac:dyDescent="0.2">
      <c r="A648" s="615">
        <v>16</v>
      </c>
      <c r="B648" s="55">
        <f t="shared" si="11"/>
        <v>67199.60578914592</v>
      </c>
      <c r="C648" s="620">
        <f t="shared" si="7"/>
        <v>33599.80289457296</v>
      </c>
      <c r="D648" s="55">
        <f t="shared" si="8"/>
        <v>11199.934298190987</v>
      </c>
      <c r="E648" s="621">
        <f t="shared" si="9"/>
        <v>37.333114327303292</v>
      </c>
      <c r="F648" s="621">
        <f t="shared" si="10"/>
        <v>161144057.3525427</v>
      </c>
      <c r="G648" s="621">
        <f t="shared" si="10"/>
        <v>1289152458.8203416</v>
      </c>
      <c r="H648" s="543"/>
      <c r="I648" s="543"/>
      <c r="J648" s="543"/>
    </row>
    <row r="649" spans="1:18" x14ac:dyDescent="0.2">
      <c r="A649" s="615">
        <v>17</v>
      </c>
      <c r="B649" s="55">
        <f t="shared" si="11"/>
        <v>63167.629441797166</v>
      </c>
      <c r="C649" s="620">
        <f t="shared" si="7"/>
        <v>31583.814720898583</v>
      </c>
      <c r="D649" s="55">
        <f t="shared" si="8"/>
        <v>10527.938240299527</v>
      </c>
      <c r="E649" s="621">
        <f t="shared" si="9"/>
        <v>35.093127467665092</v>
      </c>
      <c r="F649" s="621">
        <f t="shared" si="10"/>
        <v>151475413.91139013</v>
      </c>
      <c r="G649" s="621">
        <f t="shared" si="10"/>
        <v>1211803311.291121</v>
      </c>
      <c r="H649" s="543"/>
      <c r="I649" s="543"/>
      <c r="J649" s="543"/>
    </row>
    <row r="650" spans="1:18" x14ac:dyDescent="0.2">
      <c r="A650" s="615">
        <v>18</v>
      </c>
      <c r="B650" s="55">
        <f t="shared" si="11"/>
        <v>59377.571675289335</v>
      </c>
      <c r="C650" s="620">
        <f t="shared" si="7"/>
        <v>29688.785837644667</v>
      </c>
      <c r="D650" s="55">
        <f t="shared" si="8"/>
        <v>9896.2619458815552</v>
      </c>
      <c r="E650" s="621">
        <f t="shared" si="9"/>
        <v>32.987539819605182</v>
      </c>
      <c r="F650" s="621">
        <f t="shared" si="10"/>
        <v>142386889.07670671</v>
      </c>
      <c r="G650" s="621">
        <f t="shared" si="10"/>
        <v>1139095112.6136537</v>
      </c>
      <c r="H650" s="543"/>
      <c r="I650" s="543"/>
      <c r="J650" s="543"/>
    </row>
    <row r="651" spans="1:18" x14ac:dyDescent="0.2">
      <c r="A651" s="615">
        <v>19</v>
      </c>
      <c r="B651" s="55">
        <f t="shared" si="11"/>
        <v>55814.917374771976</v>
      </c>
      <c r="C651" s="620">
        <f t="shared" si="7"/>
        <v>27907.458687385988</v>
      </c>
      <c r="D651" s="55">
        <f t="shared" si="8"/>
        <v>9302.4862291286627</v>
      </c>
      <c r="E651" s="621">
        <f t="shared" si="9"/>
        <v>31.008287430428876</v>
      </c>
      <c r="F651" s="621">
        <f t="shared" si="10"/>
        <v>133843675.73210432</v>
      </c>
      <c r="G651" s="621">
        <f t="shared" si="10"/>
        <v>1070749405.8568345</v>
      </c>
      <c r="H651" s="543"/>
      <c r="I651" s="543"/>
      <c r="J651" s="543"/>
    </row>
    <row r="652" spans="1:18" hidden="1" x14ac:dyDescent="0.2">
      <c r="A652" s="615">
        <v>20</v>
      </c>
      <c r="B652" s="55">
        <f t="shared" si="11"/>
        <v>52466.022332285655</v>
      </c>
      <c r="C652" s="620">
        <f t="shared" si="7"/>
        <v>26233.011166142827</v>
      </c>
      <c r="D652" s="55">
        <f t="shared" si="8"/>
        <v>8744.3370553809418</v>
      </c>
      <c r="E652" s="621">
        <f t="shared" si="9"/>
        <v>29.147790184603139</v>
      </c>
      <c r="F652" s="621">
        <f t="shared" si="10"/>
        <v>125813055.18817803</v>
      </c>
      <c r="G652" s="621">
        <f t="shared" si="10"/>
        <v>1006504441.5054243</v>
      </c>
      <c r="H652" s="543"/>
      <c r="I652" s="543"/>
      <c r="J652" s="543"/>
    </row>
    <row r="653" spans="1:18" x14ac:dyDescent="0.2">
      <c r="A653" s="622"/>
      <c r="B653" s="623"/>
      <c r="C653" s="618"/>
      <c r="D653" s="543"/>
      <c r="E653" s="543"/>
      <c r="F653" s="543"/>
      <c r="G653" s="543"/>
      <c r="H653" s="543"/>
      <c r="I653" s="543"/>
      <c r="J653" s="543"/>
    </row>
    <row r="654" spans="1:18" x14ac:dyDescent="0.2">
      <c r="B654" s="543"/>
      <c r="C654" s="543"/>
      <c r="D654" s="543"/>
      <c r="E654" s="543"/>
      <c r="F654" s="543"/>
      <c r="G654" s="543"/>
      <c r="H654" s="543"/>
      <c r="I654" s="543"/>
      <c r="J654" s="543"/>
    </row>
    <row r="655" spans="1:18" x14ac:dyDescent="0.2">
      <c r="B655" s="543"/>
      <c r="C655" s="543"/>
      <c r="D655" s="543"/>
      <c r="E655" s="543"/>
      <c r="F655" s="543"/>
      <c r="G655" s="543"/>
      <c r="H655" s="543"/>
      <c r="I655" s="543"/>
      <c r="J655" s="543"/>
    </row>
    <row r="656" spans="1:18" s="103" customFormat="1" ht="15" x14ac:dyDescent="0.25">
      <c r="B656" s="624"/>
      <c r="C656" s="532"/>
      <c r="D656" s="532"/>
      <c r="E656" s="532"/>
      <c r="F656" s="532"/>
      <c r="G656" s="532"/>
      <c r="H656" s="532"/>
      <c r="I656" s="532"/>
      <c r="J656" s="532"/>
      <c r="K656" s="532"/>
      <c r="L656" s="532"/>
      <c r="M656" s="532"/>
      <c r="N656" s="532"/>
      <c r="O656" s="532"/>
      <c r="P656" s="532"/>
      <c r="Q656" s="532"/>
      <c r="R656" s="532"/>
    </row>
    <row r="657" spans="2:18" ht="15" x14ac:dyDescent="0.25">
      <c r="B657" s="500" t="s">
        <v>975</v>
      </c>
      <c r="C657" s="25"/>
      <c r="D657" s="25"/>
      <c r="E657" s="25"/>
      <c r="F657" s="528"/>
      <c r="G657" s="25"/>
      <c r="H657" s="25"/>
      <c r="I657" s="392"/>
      <c r="J657" s="392"/>
      <c r="K657" s="25"/>
      <c r="L657" s="25"/>
      <c r="M657" s="25"/>
      <c r="N657" s="25"/>
      <c r="O657" s="25"/>
      <c r="P657" s="25"/>
      <c r="Q657" s="25"/>
      <c r="R657" s="25"/>
    </row>
    <row r="658" spans="2:18" x14ac:dyDescent="0.2">
      <c r="B658" s="554" t="s">
        <v>870</v>
      </c>
      <c r="C658" s="51">
        <f>C585</f>
        <v>38004</v>
      </c>
      <c r="D658" s="25"/>
      <c r="E658" s="25"/>
      <c r="F658" s="528"/>
      <c r="G658" s="25"/>
      <c r="H658" s="25"/>
      <c r="I658" s="392"/>
      <c r="J658" s="392"/>
      <c r="K658" s="25"/>
      <c r="L658" s="25"/>
      <c r="M658" s="25"/>
      <c r="N658" s="25"/>
      <c r="O658" s="25"/>
      <c r="P658" s="25"/>
      <c r="Q658" s="25"/>
      <c r="R658" s="25"/>
    </row>
    <row r="659" spans="2:18" ht="30" x14ac:dyDescent="0.2">
      <c r="B659" s="555" t="s">
        <v>871</v>
      </c>
      <c r="C659" s="582" t="s">
        <v>872</v>
      </c>
      <c r="D659" s="582" t="s">
        <v>873</v>
      </c>
      <c r="E659" s="582" t="s">
        <v>942</v>
      </c>
      <c r="F659" s="582" t="s">
        <v>943</v>
      </c>
      <c r="G659" s="582" t="s">
        <v>944</v>
      </c>
      <c r="H659" s="582" t="s">
        <v>877</v>
      </c>
      <c r="I659" s="392"/>
      <c r="J659" s="392"/>
      <c r="K659" s="25"/>
      <c r="L659" s="25"/>
      <c r="M659" s="25"/>
      <c r="N659" s="25"/>
      <c r="O659" s="25"/>
      <c r="P659" s="25"/>
      <c r="Q659" s="25"/>
      <c r="R659" s="25"/>
    </row>
    <row r="660" spans="2:18" x14ac:dyDescent="0.2">
      <c r="B660" s="557" t="s">
        <v>878</v>
      </c>
      <c r="C660" s="558">
        <v>23563</v>
      </c>
      <c r="D660" s="559">
        <f>C658*C660</f>
        <v>895488252</v>
      </c>
      <c r="E660" s="560">
        <v>0.1</v>
      </c>
      <c r="F660" s="51">
        <f>D660*E660</f>
        <v>89548825.200000003</v>
      </c>
      <c r="G660" s="560">
        <v>0.1</v>
      </c>
      <c r="H660" s="602">
        <f>F660*G660</f>
        <v>8954882.5200000014</v>
      </c>
      <c r="I660" s="392"/>
      <c r="J660" s="392"/>
      <c r="K660" s="25"/>
      <c r="L660" s="25"/>
      <c r="M660" s="25"/>
      <c r="N660" s="25"/>
      <c r="O660" s="25"/>
      <c r="P660" s="25"/>
      <c r="Q660" s="25"/>
      <c r="R660" s="25"/>
    </row>
    <row r="661" spans="2:18" x14ac:dyDescent="0.2">
      <c r="B661" s="562" t="s">
        <v>879</v>
      </c>
      <c r="C661" s="558">
        <v>204995</v>
      </c>
      <c r="D661" s="559">
        <f>C658*C661</f>
        <v>7790629980</v>
      </c>
      <c r="E661" s="560">
        <v>0.05</v>
      </c>
      <c r="F661" s="51">
        <f>D661*E661</f>
        <v>389531499</v>
      </c>
      <c r="G661" s="560"/>
      <c r="H661" s="563">
        <f>F661*G661</f>
        <v>0</v>
      </c>
      <c r="I661" s="392"/>
      <c r="J661" s="392"/>
      <c r="K661" s="25"/>
      <c r="L661" s="25"/>
      <c r="M661" s="25"/>
      <c r="N661" s="25"/>
      <c r="O661" s="25"/>
      <c r="P661" s="25"/>
      <c r="Q661" s="25"/>
      <c r="R661" s="25"/>
    </row>
    <row r="662" spans="2:18" x14ac:dyDescent="0.2">
      <c r="B662" s="557" t="s">
        <v>880</v>
      </c>
      <c r="C662" s="558">
        <v>1736565</v>
      </c>
      <c r="D662" s="559">
        <f>C658*C662</f>
        <v>65996416260</v>
      </c>
      <c r="E662" s="560"/>
      <c r="F662" s="51">
        <f>D662*E662</f>
        <v>0</v>
      </c>
      <c r="G662" s="560"/>
      <c r="H662" s="563">
        <f>F662*G662</f>
        <v>0</v>
      </c>
      <c r="I662" s="392"/>
      <c r="J662" s="392"/>
      <c r="K662" s="25"/>
      <c r="L662" s="25"/>
      <c r="M662" s="25"/>
      <c r="N662" s="25"/>
      <c r="O662" s="25"/>
      <c r="P662" s="25"/>
      <c r="Q662" s="25"/>
      <c r="R662" s="25"/>
    </row>
    <row r="663" spans="2:18" x14ac:dyDescent="0.2">
      <c r="B663" s="557"/>
      <c r="C663" s="564"/>
      <c r="D663" s="565"/>
      <c r="E663" s="566"/>
      <c r="F663" s="528"/>
      <c r="G663" s="566"/>
      <c r="H663" s="567"/>
      <c r="I663" s="392"/>
      <c r="J663" s="392"/>
      <c r="K663" s="25"/>
      <c r="L663" s="25"/>
      <c r="M663" s="25"/>
      <c r="N663" s="25"/>
      <c r="O663" s="25"/>
      <c r="P663" s="25"/>
      <c r="Q663" s="25"/>
      <c r="R663" s="25"/>
    </row>
    <row r="664" spans="2:18" ht="15" x14ac:dyDescent="0.25">
      <c r="B664" s="500" t="s">
        <v>976</v>
      </c>
      <c r="C664" s="543"/>
      <c r="D664" s="543"/>
      <c r="E664" s="543"/>
      <c r="F664" s="543"/>
      <c r="G664" s="543"/>
      <c r="H664" s="543"/>
      <c r="I664" s="543"/>
      <c r="J664" s="543"/>
      <c r="K664" s="543"/>
      <c r="L664" s="543"/>
      <c r="M664" s="543"/>
      <c r="N664" s="543"/>
      <c r="O664" s="543"/>
      <c r="P664" s="543"/>
      <c r="Q664" s="543"/>
      <c r="R664" s="543"/>
    </row>
    <row r="665" spans="2:18" x14ac:dyDescent="0.2">
      <c r="B665" s="543"/>
      <c r="C665" s="543"/>
      <c r="D665" s="625"/>
      <c r="E665" s="543"/>
      <c r="F665" s="543"/>
      <c r="G665" s="543"/>
      <c r="H665" s="543"/>
      <c r="I665" s="543"/>
      <c r="J665" s="543"/>
      <c r="K665" s="543"/>
      <c r="L665" s="543"/>
      <c r="M665" s="543"/>
      <c r="N665" s="543"/>
      <c r="O665" s="543"/>
      <c r="P665" s="543"/>
      <c r="Q665" s="543"/>
      <c r="R665" s="543"/>
    </row>
    <row r="667" spans="2:18" ht="15" x14ac:dyDescent="0.2">
      <c r="B667" s="626" t="s">
        <v>977</v>
      </c>
      <c r="C667" s="626" t="s">
        <v>978</v>
      </c>
      <c r="D667" s="104"/>
    </row>
    <row r="668" spans="2:18" x14ac:dyDescent="0.2">
      <c r="B668" s="54">
        <v>20000000</v>
      </c>
      <c r="C668" s="104">
        <v>3</v>
      </c>
      <c r="D668" s="46">
        <f>B668*C668</f>
        <v>60000000</v>
      </c>
    </row>
    <row r="669" spans="2:18" ht="15" x14ac:dyDescent="0.2">
      <c r="B669" s="104" t="s">
        <v>979</v>
      </c>
      <c r="D669" s="627">
        <f>D668*5%</f>
        <v>3000000</v>
      </c>
    </row>
    <row r="670" spans="2:18" x14ac:dyDescent="0.2">
      <c r="B670" s="102" t="s">
        <v>980</v>
      </c>
    </row>
  </sheetData>
  <sheetProtection algorithmName="SHA-512" hashValue="SB1gkf5oV06sQcJLbUfnLUftdhJg3nVcQIYyE43sAP9eVbT0AmY6Al+e2FxKb0MUy9JR1h2LftdI7hf7byHgzQ==" saltValue="2lFcorK9KMuwH7UIhaKTlw==" spinCount="100000" sheet="1" objects="1" scenarios="1"/>
  <mergeCells count="25">
    <mergeCell ref="B108:C108"/>
    <mergeCell ref="B1:J1"/>
    <mergeCell ref="B6:E6"/>
    <mergeCell ref="B69:D69"/>
    <mergeCell ref="C71:C81"/>
    <mergeCell ref="B95:C95"/>
    <mergeCell ref="B326:C326"/>
    <mergeCell ref="B109:C109"/>
    <mergeCell ref="B124:C124"/>
    <mergeCell ref="B134:C134"/>
    <mergeCell ref="D179:D181"/>
    <mergeCell ref="D182:D184"/>
    <mergeCell ref="D185:D186"/>
    <mergeCell ref="D187:D188"/>
    <mergeCell ref="B266:C266"/>
    <mergeCell ref="B282:D282"/>
    <mergeCell ref="B311:C311"/>
    <mergeCell ref="B321:C321"/>
    <mergeCell ref="B459:D459"/>
    <mergeCell ref="B352:C352"/>
    <mergeCell ref="B364:C364"/>
    <mergeCell ref="B379:C379"/>
    <mergeCell ref="B382:C382"/>
    <mergeCell ref="B388:C388"/>
    <mergeCell ref="B394:C394"/>
  </mergeCells>
  <hyperlinks>
    <hyperlink ref="B33" r:id="rId1"/>
    <hyperlink ref="B482" r:id="rId2"/>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70" zoomScaleNormal="70" workbookViewId="0">
      <selection activeCell="A42" sqref="A42"/>
    </sheetView>
  </sheetViews>
  <sheetFormatPr baseColWidth="10" defaultColWidth="10.85546875" defaultRowHeight="14.25" x14ac:dyDescent="0.2"/>
  <cols>
    <col min="1" max="1" width="100.42578125" style="53" customWidth="1"/>
    <col min="2" max="2" width="20.42578125" style="53" customWidth="1"/>
    <col min="3" max="5" width="21.42578125" style="53" customWidth="1"/>
    <col min="6" max="7" width="18.42578125" style="53" customWidth="1"/>
    <col min="8" max="8" width="21.42578125" style="53" customWidth="1"/>
    <col min="9" max="10" width="18.42578125" style="53" customWidth="1"/>
    <col min="11" max="11" width="21.42578125" style="53" customWidth="1"/>
    <col min="12" max="13" width="18.42578125" style="53" customWidth="1"/>
    <col min="14" max="14" width="21.42578125" style="53" customWidth="1"/>
    <col min="15" max="16" width="18.42578125" style="53" customWidth="1"/>
    <col min="17" max="17" width="21.42578125" style="53" customWidth="1"/>
    <col min="18" max="19" width="18.42578125" style="53" customWidth="1"/>
    <col min="20" max="20" width="21.42578125" style="53" customWidth="1"/>
    <col min="21" max="21" width="18.42578125" style="53" customWidth="1"/>
    <col min="22" max="22" width="23.42578125" style="53" customWidth="1"/>
    <col min="23" max="23" width="23.42578125" style="313" bestFit="1" customWidth="1"/>
    <col min="24" max="16384" width="10.85546875" style="53"/>
  </cols>
  <sheetData>
    <row r="1" spans="1:23" ht="15" x14ac:dyDescent="0.25">
      <c r="A1" s="715" t="s">
        <v>287</v>
      </c>
      <c r="B1" s="716"/>
      <c r="C1" s="716"/>
      <c r="D1" s="716"/>
      <c r="E1" s="716"/>
      <c r="F1" s="716"/>
      <c r="G1" s="716"/>
      <c r="H1" s="716"/>
      <c r="I1" s="716"/>
      <c r="J1" s="716"/>
      <c r="K1" s="716"/>
      <c r="L1" s="716"/>
      <c r="M1" s="716"/>
      <c r="N1" s="716"/>
      <c r="O1" s="716"/>
      <c r="P1" s="716"/>
      <c r="Q1" s="716"/>
      <c r="R1" s="716"/>
      <c r="S1" s="716"/>
      <c r="T1" s="716"/>
      <c r="U1" s="716"/>
      <c r="V1" s="716"/>
      <c r="W1" s="716"/>
    </row>
    <row r="2" spans="1:23" ht="15" x14ac:dyDescent="0.25">
      <c r="A2" s="715" t="s">
        <v>327</v>
      </c>
      <c r="B2" s="716"/>
      <c r="C2" s="716"/>
      <c r="D2" s="716"/>
      <c r="E2" s="716"/>
      <c r="F2" s="716"/>
      <c r="G2" s="716"/>
      <c r="H2" s="716"/>
      <c r="I2" s="716"/>
      <c r="J2" s="716"/>
      <c r="K2" s="716"/>
      <c r="L2" s="716"/>
      <c r="M2" s="716"/>
      <c r="N2" s="716"/>
      <c r="O2" s="716"/>
      <c r="P2" s="716"/>
      <c r="Q2" s="716"/>
      <c r="R2" s="716"/>
      <c r="S2" s="716"/>
      <c r="T2" s="716"/>
      <c r="U2" s="716"/>
      <c r="V2" s="716"/>
      <c r="W2" s="716"/>
    </row>
    <row r="3" spans="1:23" ht="18.75" x14ac:dyDescent="0.3">
      <c r="A3" s="221"/>
      <c r="B3" s="222"/>
      <c r="C3" s="222"/>
      <c r="D3" s="222"/>
      <c r="E3" s="222"/>
      <c r="F3" s="222"/>
      <c r="G3" s="222"/>
      <c r="H3" s="222"/>
      <c r="I3" s="222"/>
      <c r="J3" s="222"/>
      <c r="K3" s="222"/>
      <c r="L3" s="222"/>
      <c r="M3" s="222"/>
      <c r="N3" s="222"/>
      <c r="O3" s="222"/>
      <c r="P3" s="222"/>
      <c r="Q3" s="222"/>
      <c r="R3" s="222"/>
      <c r="S3" s="222"/>
      <c r="T3" s="222"/>
      <c r="U3" s="222"/>
      <c r="V3" s="222"/>
      <c r="W3" s="308"/>
    </row>
    <row r="5" spans="1:23" ht="15" x14ac:dyDescent="0.2">
      <c r="A5" s="165" t="s">
        <v>285</v>
      </c>
      <c r="B5" s="165">
        <v>1</v>
      </c>
      <c r="C5" s="165">
        <v>2</v>
      </c>
      <c r="D5" s="165">
        <v>3</v>
      </c>
      <c r="E5" s="165">
        <v>4</v>
      </c>
      <c r="F5" s="165">
        <v>5</v>
      </c>
      <c r="G5" s="165">
        <v>6</v>
      </c>
      <c r="H5" s="165">
        <v>7</v>
      </c>
      <c r="I5" s="165">
        <v>8</v>
      </c>
      <c r="J5" s="165">
        <v>9</v>
      </c>
      <c r="K5" s="165">
        <v>10</v>
      </c>
      <c r="L5" s="165">
        <v>11</v>
      </c>
      <c r="M5" s="165">
        <v>12</v>
      </c>
      <c r="N5" s="165">
        <v>13</v>
      </c>
      <c r="O5" s="165">
        <v>14</v>
      </c>
      <c r="P5" s="165">
        <v>15</v>
      </c>
      <c r="Q5" s="165">
        <v>16</v>
      </c>
      <c r="R5" s="165">
        <v>17</v>
      </c>
      <c r="S5" s="165">
        <v>18</v>
      </c>
      <c r="T5" s="165">
        <v>19</v>
      </c>
      <c r="U5" s="165">
        <v>20</v>
      </c>
      <c r="V5" s="165" t="s">
        <v>286</v>
      </c>
      <c r="W5" s="309" t="s">
        <v>26</v>
      </c>
    </row>
    <row r="6" spans="1:23" s="203" customFormat="1" ht="15" x14ac:dyDescent="0.2">
      <c r="A6" s="202" t="str">
        <f>'PPP_V3_y Costos'!C2</f>
        <v>1. Incremento del consumo de maíz nacional.</v>
      </c>
      <c r="B6" s="166">
        <f>'P1'!E7</f>
        <v>1180628211.9875</v>
      </c>
      <c r="C6" s="166">
        <f>'P1'!F7</f>
        <v>13207564847.949997</v>
      </c>
      <c r="D6" s="166">
        <f>'P1'!G7</f>
        <v>13207564847.949997</v>
      </c>
      <c r="E6" s="166">
        <f>'P1'!H7</f>
        <v>13207564847.949997</v>
      </c>
      <c r="F6" s="166">
        <f>'P1'!I7</f>
        <v>13207564847.949997</v>
      </c>
      <c r="G6" s="166">
        <f>'P1'!J7</f>
        <v>13207564847.949997</v>
      </c>
      <c r="H6" s="166">
        <f>'P1'!K7</f>
        <v>4722512847.9499998</v>
      </c>
      <c r="I6" s="166">
        <f>'P1'!L7</f>
        <v>4722512847.9499998</v>
      </c>
      <c r="J6" s="166">
        <f>'P1'!M7</f>
        <v>4722512847.9499998</v>
      </c>
      <c r="K6" s="166">
        <f>'P1'!N7</f>
        <v>4722512847.9499998</v>
      </c>
      <c r="L6" s="166">
        <f>'P1'!O7</f>
        <v>4722512847.9499998</v>
      </c>
      <c r="M6" s="166">
        <f>'P1'!P7</f>
        <v>4722512847.9499998</v>
      </c>
      <c r="N6" s="166">
        <f>'P1'!Q7</f>
        <v>4722512847.9499998</v>
      </c>
      <c r="O6" s="166">
        <f>'P1'!R7</f>
        <v>4722512847.9499998</v>
      </c>
      <c r="P6" s="166">
        <f>'P1'!S7</f>
        <v>4722512847.9499998</v>
      </c>
      <c r="Q6" s="166">
        <f>'P1'!T7</f>
        <v>4722512847.9499998</v>
      </c>
      <c r="R6" s="166">
        <f>'P1'!U7</f>
        <v>4722512847.9499998</v>
      </c>
      <c r="S6" s="166">
        <f>'P1'!V7</f>
        <v>4722512847.9499998</v>
      </c>
      <c r="T6" s="166">
        <f>'P1'!W7</f>
        <v>4722512847.9499998</v>
      </c>
      <c r="U6" s="166">
        <f>'P1'!X7</f>
        <v>4722512847.9499998</v>
      </c>
      <c r="V6" s="166">
        <f>'P1'!Y7</f>
        <v>133333632323.03745</v>
      </c>
      <c r="W6" s="310">
        <f t="shared" ref="W6:W15" si="0">V6/V$42</f>
        <v>4.4688877383131036E-2</v>
      </c>
    </row>
    <row r="7" spans="1:23" s="203" customFormat="1" x14ac:dyDescent="0.2">
      <c r="A7" s="204" t="str">
        <f>'PPP_V3_y Costos'!D2</f>
        <v>1.1. Aumento de la participación del maíz nacional en el mercado de consumo animal.</v>
      </c>
      <c r="B7" s="54">
        <f>'P1'!E8</f>
        <v>516491238.75</v>
      </c>
      <c r="C7" s="54">
        <f>'P1'!F8</f>
        <v>10551016954.999998</v>
      </c>
      <c r="D7" s="54">
        <f>'P1'!G8</f>
        <v>10551016954.999998</v>
      </c>
      <c r="E7" s="54">
        <f>'P1'!H8</f>
        <v>10551016954.999998</v>
      </c>
      <c r="F7" s="54">
        <f>'P1'!I8</f>
        <v>10551016954.999998</v>
      </c>
      <c r="G7" s="54">
        <f>'P1'!J8</f>
        <v>10551016954.999998</v>
      </c>
      <c r="H7" s="54">
        <f>'P1'!K8</f>
        <v>2065964955</v>
      </c>
      <c r="I7" s="54">
        <f>'P1'!L8</f>
        <v>2065964955</v>
      </c>
      <c r="J7" s="54">
        <f>'P1'!M8</f>
        <v>2065964955</v>
      </c>
      <c r="K7" s="54">
        <f>'P1'!N8</f>
        <v>2065964955</v>
      </c>
      <c r="L7" s="54">
        <f>'P1'!O8</f>
        <v>2065964955</v>
      </c>
      <c r="M7" s="54">
        <f>'P1'!P8</f>
        <v>2065964955</v>
      </c>
      <c r="N7" s="54">
        <f>'P1'!Q8</f>
        <v>2065964955</v>
      </c>
      <c r="O7" s="54">
        <f>'P1'!R8</f>
        <v>2065964955</v>
      </c>
      <c r="P7" s="54">
        <f>'P1'!S8</f>
        <v>2065964955</v>
      </c>
      <c r="Q7" s="54">
        <f>'P1'!T8</f>
        <v>2065964955</v>
      </c>
      <c r="R7" s="54">
        <f>'P1'!U8</f>
        <v>2065964955</v>
      </c>
      <c r="S7" s="54">
        <f>'P1'!V8</f>
        <v>2065964955</v>
      </c>
      <c r="T7" s="54">
        <f>'P1'!W8</f>
        <v>2065964955</v>
      </c>
      <c r="U7" s="54">
        <f>'P1'!X8</f>
        <v>2065964955</v>
      </c>
      <c r="V7" s="54">
        <f>'P1'!Y8</f>
        <v>82195085383.75</v>
      </c>
      <c r="W7" s="217">
        <f t="shared" si="0"/>
        <v>2.75489839151088E-2</v>
      </c>
    </row>
    <row r="8" spans="1:23" s="203" customFormat="1" ht="28.5" x14ac:dyDescent="0.2">
      <c r="A8" s="204" t="str">
        <f>'PPP_V3_y Costos'!D3</f>
        <v>1.2. Posicionamiento de la oferta del maíz nacional y sus derivados, para  alimentación humana y otros usos.</v>
      </c>
      <c r="B8" s="54">
        <f>'P1'!E9</f>
        <v>664136973.23749995</v>
      </c>
      <c r="C8" s="54">
        <f>'P1'!F9</f>
        <v>2656547892.9499998</v>
      </c>
      <c r="D8" s="54">
        <f>'P1'!G9</f>
        <v>2656547892.9499998</v>
      </c>
      <c r="E8" s="54">
        <f>'P1'!H9</f>
        <v>2656547892.9499998</v>
      </c>
      <c r="F8" s="54">
        <f>'P1'!I9</f>
        <v>2656547892.9499998</v>
      </c>
      <c r="G8" s="54">
        <f>'P1'!J9</f>
        <v>2656547892.9499998</v>
      </c>
      <c r="H8" s="54">
        <f>'P1'!K9</f>
        <v>2656547892.9499998</v>
      </c>
      <c r="I8" s="54">
        <f>'P1'!L9</f>
        <v>2656547892.9499998</v>
      </c>
      <c r="J8" s="54">
        <f>'P1'!M9</f>
        <v>2656547892.9499998</v>
      </c>
      <c r="K8" s="54">
        <f>'P1'!N9</f>
        <v>2656547892.9499998</v>
      </c>
      <c r="L8" s="54">
        <f>'P1'!O9</f>
        <v>2656547892.9499998</v>
      </c>
      <c r="M8" s="54">
        <f>'P1'!P9</f>
        <v>2656547892.9499998</v>
      </c>
      <c r="N8" s="54">
        <f>'P1'!Q9</f>
        <v>2656547892.9499998</v>
      </c>
      <c r="O8" s="54">
        <f>'P1'!R9</f>
        <v>2656547892.9499998</v>
      </c>
      <c r="P8" s="54">
        <f>'P1'!S9</f>
        <v>2656547892.9499998</v>
      </c>
      <c r="Q8" s="54">
        <f>'P1'!T9</f>
        <v>2656547892.9499998</v>
      </c>
      <c r="R8" s="54">
        <f>'P1'!U9</f>
        <v>2656547892.9499998</v>
      </c>
      <c r="S8" s="54">
        <f>'P1'!V9</f>
        <v>2656547892.9499998</v>
      </c>
      <c r="T8" s="54">
        <f>'P1'!W9</f>
        <v>2656547892.9499998</v>
      </c>
      <c r="U8" s="54">
        <f>'P1'!X9</f>
        <v>2656547892.9499998</v>
      </c>
      <c r="V8" s="54">
        <f>'P1'!Y9</f>
        <v>51138546939.287483</v>
      </c>
      <c r="W8" s="217">
        <f t="shared" si="0"/>
        <v>1.7139893468022246E-2</v>
      </c>
    </row>
    <row r="9" spans="1:23" s="203" customFormat="1" ht="15" x14ac:dyDescent="0.2">
      <c r="A9" s="202" t="str">
        <f>'PPP_V3_y Costos'!C4</f>
        <v>2. Mejoramiento productivo del cultivo de maíz.</v>
      </c>
      <c r="B9" s="166">
        <f>'P2'!E7</f>
        <v>1223007694</v>
      </c>
      <c r="C9" s="166">
        <f>'P2'!F7</f>
        <v>78399694040</v>
      </c>
      <c r="D9" s="166">
        <f>'P2'!G7</f>
        <v>78399694040</v>
      </c>
      <c r="E9" s="166">
        <f>'P2'!H7</f>
        <v>78399694040</v>
      </c>
      <c r="F9" s="166">
        <f>'P2'!I7</f>
        <v>78399694040</v>
      </c>
      <c r="G9" s="166">
        <f>'P2'!J7</f>
        <v>76239054248</v>
      </c>
      <c r="H9" s="166">
        <f>'P2'!K7</f>
        <v>76239054248</v>
      </c>
      <c r="I9" s="166">
        <f>'P2'!L7</f>
        <v>76239054248</v>
      </c>
      <c r="J9" s="166">
        <f>'P2'!M7</f>
        <v>76239054248</v>
      </c>
      <c r="K9" s="166">
        <f>'P2'!N7</f>
        <v>76239054248</v>
      </c>
      <c r="L9" s="166">
        <f>'P2'!O7</f>
        <v>76239054248</v>
      </c>
      <c r="M9" s="166">
        <f>'P2'!P7</f>
        <v>27946085498</v>
      </c>
      <c r="N9" s="166">
        <f>'P2'!Q7</f>
        <v>27946085498</v>
      </c>
      <c r="O9" s="166">
        <f>'P2'!R7</f>
        <v>27946085498</v>
      </c>
      <c r="P9" s="166">
        <f>'P2'!S7</f>
        <v>27946085498</v>
      </c>
      <c r="Q9" s="166">
        <f>'P2'!T7</f>
        <v>27946085498</v>
      </c>
      <c r="R9" s="166">
        <f>'P2'!U7</f>
        <v>27946085498</v>
      </c>
      <c r="S9" s="166">
        <f>'P2'!V7</f>
        <v>27946085498</v>
      </c>
      <c r="T9" s="166">
        <f>'P2'!W7</f>
        <v>27946085498</v>
      </c>
      <c r="U9" s="166">
        <f>'P2'!X7</f>
        <v>27946085498</v>
      </c>
      <c r="V9" s="166">
        <f>'P2'!Y7</f>
        <v>1023770878824</v>
      </c>
      <c r="W9" s="310">
        <f t="shared" si="0"/>
        <v>0.34313301509210536</v>
      </c>
    </row>
    <row r="10" spans="1:23" s="203" customFormat="1" x14ac:dyDescent="0.2">
      <c r="A10" s="204" t="str">
        <f>'PPP_V3_y Costos'!D4</f>
        <v>2.1. Implementación efectiva de la asistencia técnica en sistemas tecnificados de maíz.</v>
      </c>
      <c r="B10" s="54">
        <f>'P2'!E8</f>
        <v>937600168</v>
      </c>
      <c r="C10" s="54">
        <f>'P2'!F8</f>
        <v>78019150672</v>
      </c>
      <c r="D10" s="54">
        <f>'P2'!G8</f>
        <v>78019150672</v>
      </c>
      <c r="E10" s="54">
        <f>'P2'!H8</f>
        <v>78019150672</v>
      </c>
      <c r="F10" s="54">
        <f>'P2'!I8</f>
        <v>78019150672</v>
      </c>
      <c r="G10" s="54">
        <f>'P2'!J8</f>
        <v>75858510880</v>
      </c>
      <c r="H10" s="54">
        <f>'P2'!K8</f>
        <v>75858510880</v>
      </c>
      <c r="I10" s="54">
        <f>'P2'!L8</f>
        <v>75858510880</v>
      </c>
      <c r="J10" s="54">
        <f>'P2'!M8</f>
        <v>75858510880</v>
      </c>
      <c r="K10" s="54">
        <f>'P2'!N8</f>
        <v>75858510880</v>
      </c>
      <c r="L10" s="54">
        <f>'P2'!O8</f>
        <v>75858510880</v>
      </c>
      <c r="M10" s="54">
        <f>'P2'!P8</f>
        <v>27565542130</v>
      </c>
      <c r="N10" s="54">
        <f>'P2'!Q8</f>
        <v>27565542130</v>
      </c>
      <c r="O10" s="54">
        <f>'P2'!R8</f>
        <v>27565542130</v>
      </c>
      <c r="P10" s="54">
        <f>'P2'!S8</f>
        <v>27565542130</v>
      </c>
      <c r="Q10" s="54">
        <f>'P2'!T8</f>
        <v>27565542130</v>
      </c>
      <c r="R10" s="54">
        <f>'P2'!U8</f>
        <v>27565542130</v>
      </c>
      <c r="S10" s="54">
        <f>'P2'!V8</f>
        <v>27565542130</v>
      </c>
      <c r="T10" s="54">
        <f>'P2'!W8</f>
        <v>27565542130</v>
      </c>
      <c r="U10" s="54">
        <f>'P2'!X8</f>
        <v>27565542130</v>
      </c>
      <c r="V10" s="54">
        <f>'P2'!Y8</f>
        <v>1016255147306</v>
      </c>
      <c r="W10" s="217">
        <f t="shared" si="0"/>
        <v>0.34061399870891185</v>
      </c>
    </row>
    <row r="11" spans="1:23" s="203" customFormat="1" x14ac:dyDescent="0.2">
      <c r="A11" s="204" t="str">
        <f>'PPP_V3_y Costos'!D5</f>
        <v xml:space="preserve">2.2. Impulso a la producción de maíz a mediana y gran escala.  </v>
      </c>
      <c r="B11" s="54">
        <f>'P2'!E9</f>
        <v>285407526</v>
      </c>
      <c r="C11" s="54">
        <f>'P2'!F9</f>
        <v>380543368</v>
      </c>
      <c r="D11" s="54">
        <f>'P2'!G9</f>
        <v>380543368</v>
      </c>
      <c r="E11" s="54">
        <f>'P2'!H9</f>
        <v>380543368</v>
      </c>
      <c r="F11" s="54">
        <f>'P2'!I9</f>
        <v>380543368</v>
      </c>
      <c r="G11" s="54">
        <f>'P2'!J9</f>
        <v>380543368</v>
      </c>
      <c r="H11" s="54">
        <f>'P2'!K9</f>
        <v>380543368</v>
      </c>
      <c r="I11" s="54">
        <f>'P2'!L9</f>
        <v>380543368</v>
      </c>
      <c r="J11" s="54">
        <f>'P2'!M9</f>
        <v>380543368</v>
      </c>
      <c r="K11" s="54">
        <f>'P2'!N9</f>
        <v>380543368</v>
      </c>
      <c r="L11" s="54">
        <f>'P2'!O9</f>
        <v>380543368</v>
      </c>
      <c r="M11" s="54">
        <f>'P2'!P9</f>
        <v>380543368</v>
      </c>
      <c r="N11" s="54">
        <f>'P2'!Q9</f>
        <v>380543368</v>
      </c>
      <c r="O11" s="54">
        <f>'P2'!R9</f>
        <v>380543368</v>
      </c>
      <c r="P11" s="54">
        <f>'P2'!S9</f>
        <v>380543368</v>
      </c>
      <c r="Q11" s="54">
        <f>'P2'!T9</f>
        <v>380543368</v>
      </c>
      <c r="R11" s="54">
        <f>'P2'!U9</f>
        <v>380543368</v>
      </c>
      <c r="S11" s="54">
        <f>'P2'!V9</f>
        <v>380543368</v>
      </c>
      <c r="T11" s="54">
        <f>'P2'!W9</f>
        <v>380543368</v>
      </c>
      <c r="U11" s="54">
        <f>'P2'!X9</f>
        <v>380543368</v>
      </c>
      <c r="V11" s="54">
        <f>'P2'!Y9</f>
        <v>7515731518</v>
      </c>
      <c r="W11" s="217">
        <f t="shared" si="0"/>
        <v>2.5190163831935414E-3</v>
      </c>
    </row>
    <row r="12" spans="1:23" s="203" customFormat="1" ht="15" x14ac:dyDescent="0.2">
      <c r="A12" s="202" t="str">
        <f>'PPP_V3_y Costos'!C6</f>
        <v xml:space="preserve">3. Generación y consolidación de encadenamientos regionales para la cadena de maíz. </v>
      </c>
      <c r="B12" s="166">
        <f>'P3'!E7</f>
        <v>2192898774.0434985</v>
      </c>
      <c r="C12" s="166">
        <f>'P3'!F7</f>
        <v>75017708836.936035</v>
      </c>
      <c r="D12" s="166">
        <f>'P3'!G7</f>
        <v>75017708836.936035</v>
      </c>
      <c r="E12" s="166">
        <f>'P3'!H7</f>
        <v>75017708836.936035</v>
      </c>
      <c r="F12" s="166">
        <f>'P3'!I7</f>
        <v>75017708836.936035</v>
      </c>
      <c r="G12" s="166">
        <f>'P3'!J7</f>
        <v>74942852600.936035</v>
      </c>
      <c r="H12" s="166">
        <f>'P3'!K7</f>
        <v>74863656901.424042</v>
      </c>
      <c r="I12" s="166">
        <f>'P3'!L7</f>
        <v>74863656901.424042</v>
      </c>
      <c r="J12" s="166">
        <f>'P3'!M7</f>
        <v>74863656901.424042</v>
      </c>
      <c r="K12" s="166">
        <f>'P3'!N7</f>
        <v>74863656901.424042</v>
      </c>
      <c r="L12" s="166">
        <f>'P3'!O7</f>
        <v>73614392216.11203</v>
      </c>
      <c r="M12" s="166">
        <f>'P3'!P7</f>
        <v>72247246068.906036</v>
      </c>
      <c r="N12" s="166">
        <f>'P3'!Q7</f>
        <v>72247246068.906036</v>
      </c>
      <c r="O12" s="166">
        <f>'P3'!R7</f>
        <v>72247246068.906036</v>
      </c>
      <c r="P12" s="166">
        <f>'P3'!S7</f>
        <v>72247246068.906036</v>
      </c>
      <c r="Q12" s="166">
        <f>'P3'!T7</f>
        <v>72247246068.906036</v>
      </c>
      <c r="R12" s="166">
        <f>'P3'!U7</f>
        <v>72247246068.906036</v>
      </c>
      <c r="S12" s="166">
        <f>'P3'!V7</f>
        <v>72247246068.906036</v>
      </c>
      <c r="T12" s="166">
        <f>'P3'!W7</f>
        <v>72247246068.906036</v>
      </c>
      <c r="U12" s="166">
        <f>'P3'!X7</f>
        <v>72247246068.906036</v>
      </c>
      <c r="V12" s="166">
        <f>'P3'!Y7</f>
        <v>1400500821164.686</v>
      </c>
      <c r="W12" s="310">
        <f t="shared" si="0"/>
        <v>0.46940001844672763</v>
      </c>
    </row>
    <row r="13" spans="1:23" s="203" customFormat="1" x14ac:dyDescent="0.2">
      <c r="A13" s="204" t="str">
        <f>'PPP_V3_y Costos'!D6</f>
        <v>3.1. Promoción y fortalecimiento de organizaciones de economía solidaria en la cadena de maíz.</v>
      </c>
      <c r="B13" s="54">
        <f>'P3'!E8</f>
        <v>239430830</v>
      </c>
      <c r="C13" s="54">
        <f>'P3'!F8</f>
        <v>957723320</v>
      </c>
      <c r="D13" s="54">
        <f>'P3'!G8</f>
        <v>957723320</v>
      </c>
      <c r="E13" s="54">
        <f>'P3'!H8</f>
        <v>957723320</v>
      </c>
      <c r="F13" s="54">
        <f>'P3'!I8</f>
        <v>957723320</v>
      </c>
      <c r="G13" s="54">
        <f>'P3'!J8</f>
        <v>1457723320</v>
      </c>
      <c r="H13" s="54">
        <f>'P3'!K8</f>
        <v>1457723320</v>
      </c>
      <c r="I13" s="54">
        <f>'P3'!L8</f>
        <v>1457723320</v>
      </c>
      <c r="J13" s="54">
        <f>'P3'!M8</f>
        <v>1457723320</v>
      </c>
      <c r="K13" s="54">
        <f>'P3'!N8</f>
        <v>1457723320</v>
      </c>
      <c r="L13" s="54">
        <f>'P3'!O8</f>
        <v>1457723320</v>
      </c>
      <c r="M13" s="54">
        <f>'P3'!P8</f>
        <v>1457723320</v>
      </c>
      <c r="N13" s="54">
        <f>'P3'!Q8</f>
        <v>1457723320</v>
      </c>
      <c r="O13" s="54">
        <f>'P3'!R8</f>
        <v>1457723320</v>
      </c>
      <c r="P13" s="54">
        <f>'P3'!S8</f>
        <v>1457723320</v>
      </c>
      <c r="Q13" s="54">
        <f>'P3'!T8</f>
        <v>1457723320</v>
      </c>
      <c r="R13" s="54">
        <f>'P3'!U8</f>
        <v>1457723320</v>
      </c>
      <c r="S13" s="54">
        <f>'P3'!V8</f>
        <v>1457723320</v>
      </c>
      <c r="T13" s="54">
        <f>'P3'!W8</f>
        <v>1457723320</v>
      </c>
      <c r="U13" s="54">
        <f>'P3'!X8</f>
        <v>1457723320</v>
      </c>
      <c r="V13" s="54">
        <f>'P3'!Y8</f>
        <v>25936173910</v>
      </c>
      <c r="W13" s="217">
        <f t="shared" si="0"/>
        <v>8.6929192241865412E-3</v>
      </c>
    </row>
    <row r="14" spans="1:23" s="203" customFormat="1" x14ac:dyDescent="0.2">
      <c r="A14" s="204" t="str">
        <f>'PPP_V3_y Costos'!D7</f>
        <v>3.2. Promoción de la integración y las alianzas estratégicas regionales en la cadena de maíz.</v>
      </c>
      <c r="B14" s="54">
        <f>'P3'!E9</f>
        <v>605460671.5</v>
      </c>
      <c r="C14" s="54">
        <f>'P3'!F9</f>
        <v>2421842686</v>
      </c>
      <c r="D14" s="54">
        <f>'P3'!G9</f>
        <v>2421842686</v>
      </c>
      <c r="E14" s="54">
        <f>'P3'!H9</f>
        <v>2421842686</v>
      </c>
      <c r="F14" s="54">
        <f>'P3'!I9</f>
        <v>2421842686</v>
      </c>
      <c r="G14" s="54">
        <f>'P3'!J9</f>
        <v>1846986450</v>
      </c>
      <c r="H14" s="54">
        <f>'P3'!K9</f>
        <v>1846986450</v>
      </c>
      <c r="I14" s="54">
        <f>'P3'!L9</f>
        <v>1846986450</v>
      </c>
      <c r="J14" s="54">
        <f>'P3'!M9</f>
        <v>1846986450</v>
      </c>
      <c r="K14" s="54">
        <f>'P3'!N9</f>
        <v>1846986450</v>
      </c>
      <c r="L14" s="54">
        <f>'P3'!O9</f>
        <v>1846986450</v>
      </c>
      <c r="M14" s="54">
        <f>'P3'!P9</f>
        <v>1846986450</v>
      </c>
      <c r="N14" s="54">
        <f>'P3'!Q9</f>
        <v>1846986450</v>
      </c>
      <c r="O14" s="54">
        <f>'P3'!R9</f>
        <v>1846986450</v>
      </c>
      <c r="P14" s="54">
        <f>'P3'!S9</f>
        <v>1846986450</v>
      </c>
      <c r="Q14" s="54">
        <f>'P3'!T9</f>
        <v>1846986450</v>
      </c>
      <c r="R14" s="54">
        <f>'P3'!U9</f>
        <v>1846986450</v>
      </c>
      <c r="S14" s="54">
        <f>'P3'!V9</f>
        <v>1846986450</v>
      </c>
      <c r="T14" s="54">
        <f>'P3'!W9</f>
        <v>1846986450</v>
      </c>
      <c r="U14" s="54">
        <f>'P3'!X9</f>
        <v>1846986450</v>
      </c>
      <c r="V14" s="54">
        <f>'P3'!Y9</f>
        <v>37997628165.5</v>
      </c>
      <c r="W14" s="217">
        <f t="shared" si="0"/>
        <v>1.2735506536143786E-2</v>
      </c>
    </row>
    <row r="15" spans="1:23" s="203" customFormat="1" ht="28.5" x14ac:dyDescent="0.2">
      <c r="A15" s="205" t="str">
        <f>'PPP_V3_y Costos'!D8</f>
        <v>3.3. Aumento de la capacidad instalada regional para el secamiento, almacenamiento, y  procesamiento agroindustrial de maíz.</v>
      </c>
      <c r="B15" s="54">
        <f>'P3'!E10</f>
        <v>341786536.80149841</v>
      </c>
      <c r="C15" s="54">
        <f>'P3'!F10</f>
        <v>68813185862.992035</v>
      </c>
      <c r="D15" s="54">
        <f>'P3'!G10</f>
        <v>68813185862.992035</v>
      </c>
      <c r="E15" s="54">
        <f>'P3'!H10</f>
        <v>68813185862.992035</v>
      </c>
      <c r="F15" s="54">
        <f>'P3'!I10</f>
        <v>68813185862.992035</v>
      </c>
      <c r="G15" s="54">
        <f>'P3'!J10</f>
        <v>68813185862.992035</v>
      </c>
      <c r="H15" s="54">
        <f>'P3'!K10</f>
        <v>68813185862.992035</v>
      </c>
      <c r="I15" s="54">
        <f>'P3'!L10</f>
        <v>68813185862.992035</v>
      </c>
      <c r="J15" s="54">
        <f>'P3'!M10</f>
        <v>68813185862.992035</v>
      </c>
      <c r="K15" s="54">
        <f>'P3'!N10</f>
        <v>68813185862.992035</v>
      </c>
      <c r="L15" s="54">
        <f>'P3'!O10</f>
        <v>68813185862.992035</v>
      </c>
      <c r="M15" s="54">
        <f>'P3'!P10</f>
        <v>67446039715.786041</v>
      </c>
      <c r="N15" s="54">
        <f>'P3'!Q10</f>
        <v>67446039715.786041</v>
      </c>
      <c r="O15" s="54">
        <f>'P3'!R10</f>
        <v>67446039715.786041</v>
      </c>
      <c r="P15" s="54">
        <f>'P3'!S10</f>
        <v>67446039715.786041</v>
      </c>
      <c r="Q15" s="54">
        <f>'P3'!T10</f>
        <v>67446039715.786041</v>
      </c>
      <c r="R15" s="54">
        <f>'P3'!U10</f>
        <v>67446039715.786041</v>
      </c>
      <c r="S15" s="54">
        <f>'P3'!V10</f>
        <v>67446039715.786041</v>
      </c>
      <c r="T15" s="54">
        <f>'P3'!W10</f>
        <v>67446039715.786041</v>
      </c>
      <c r="U15" s="54">
        <f>'P3'!X10</f>
        <v>67446039715.786041</v>
      </c>
      <c r="V15" s="54">
        <f>'P3'!Y10</f>
        <v>1295488002608.7964</v>
      </c>
      <c r="W15" s="217">
        <f t="shared" si="0"/>
        <v>0.43420331008186974</v>
      </c>
    </row>
    <row r="16" spans="1:23" s="203" customFormat="1" x14ac:dyDescent="0.2">
      <c r="A16" s="205" t="str">
        <f>'PPP_V3_y Costos'!D9</f>
        <v xml:space="preserve">3.4. Fortalecimiento de la oferta de insumos y servicios asociados a la cadena. </v>
      </c>
      <c r="B16" s="54">
        <f>'P3'!E11</f>
        <v>556248495.10800004</v>
      </c>
      <c r="C16" s="54">
        <f>'P3'!F11</f>
        <v>2224993980.4320002</v>
      </c>
      <c r="D16" s="54">
        <f>'P3'!G11</f>
        <v>2224993980.4320002</v>
      </c>
      <c r="E16" s="54">
        <f>'P3'!H11</f>
        <v>2224993980.4320002</v>
      </c>
      <c r="F16" s="54">
        <f>'P3'!I11</f>
        <v>2224993980.4320002</v>
      </c>
      <c r="G16" s="54">
        <f>'P3'!J11</f>
        <v>2224993980.4320002</v>
      </c>
      <c r="H16" s="54">
        <f>'P3'!K11</f>
        <v>2224993980.4320002</v>
      </c>
      <c r="I16" s="54">
        <f>'P3'!L11</f>
        <v>2224993980.4320002</v>
      </c>
      <c r="J16" s="54">
        <f>'P3'!M11</f>
        <v>2224993980.4320002</v>
      </c>
      <c r="K16" s="54">
        <f>'P3'!N11</f>
        <v>2224993980.4320002</v>
      </c>
      <c r="L16" s="54">
        <f>'P3'!O11</f>
        <v>975729295.12</v>
      </c>
      <c r="M16" s="54">
        <f>'P3'!P11</f>
        <v>975729295.12</v>
      </c>
      <c r="N16" s="54">
        <f>'P3'!Q11</f>
        <v>975729295.12</v>
      </c>
      <c r="O16" s="54">
        <f>'P3'!R11</f>
        <v>975729295.12</v>
      </c>
      <c r="P16" s="54">
        <f>'P3'!S11</f>
        <v>975729295.12</v>
      </c>
      <c r="Q16" s="54">
        <f>'P3'!T11</f>
        <v>975729295.12</v>
      </c>
      <c r="R16" s="54">
        <f>'P3'!U11</f>
        <v>975729295.12</v>
      </c>
      <c r="S16" s="54">
        <f>'P3'!V11</f>
        <v>975729295.12</v>
      </c>
      <c r="T16" s="54">
        <f>'P3'!W11</f>
        <v>975729295.12</v>
      </c>
      <c r="U16" s="54">
        <f>'P3'!X11</f>
        <v>975729295.12</v>
      </c>
      <c r="V16" s="54">
        <f>'P3'!Y11</f>
        <v>30338487270.195988</v>
      </c>
      <c r="W16" s="217">
        <f t="shared" ref="W16:W17" si="1">V16/V$42</f>
        <v>1.0168424230149888E-2</v>
      </c>
    </row>
    <row r="17" spans="1:23" s="203" customFormat="1" x14ac:dyDescent="0.2">
      <c r="A17" s="205" t="str">
        <f>'PPP_V3_y Costos'!D10</f>
        <v>3.5. Mejora del entorno productivo para las grandes inversiones en las regiones maiceras.</v>
      </c>
      <c r="B17" s="54">
        <f>'P3'!E12</f>
        <v>449972240.63399994</v>
      </c>
      <c r="C17" s="54">
        <f>'P3'!F12</f>
        <v>599962987.51199996</v>
      </c>
      <c r="D17" s="54">
        <f>'P3'!G12</f>
        <v>599962987.51199996</v>
      </c>
      <c r="E17" s="54">
        <f>'P3'!H12</f>
        <v>599962987.51199996</v>
      </c>
      <c r="F17" s="54">
        <f>'P3'!I12</f>
        <v>599962987.51199996</v>
      </c>
      <c r="G17" s="54">
        <f>'P3'!J12</f>
        <v>599962987.51199996</v>
      </c>
      <c r="H17" s="54">
        <f>'P3'!K12</f>
        <v>520767288</v>
      </c>
      <c r="I17" s="54">
        <f>'P3'!L12</f>
        <v>520767288</v>
      </c>
      <c r="J17" s="54">
        <f>'P3'!M12</f>
        <v>520767288</v>
      </c>
      <c r="K17" s="54">
        <f>'P3'!N12</f>
        <v>520767288</v>
      </c>
      <c r="L17" s="54">
        <f>'P3'!O12</f>
        <v>520767288</v>
      </c>
      <c r="M17" s="54">
        <f>'P3'!P12</f>
        <v>520767288</v>
      </c>
      <c r="N17" s="54">
        <f>'P3'!Q12</f>
        <v>520767288</v>
      </c>
      <c r="O17" s="54">
        <f>'P3'!R12</f>
        <v>520767288</v>
      </c>
      <c r="P17" s="54">
        <f>'P3'!S12</f>
        <v>520767288</v>
      </c>
      <c r="Q17" s="54">
        <f>'P3'!T12</f>
        <v>520767288</v>
      </c>
      <c r="R17" s="54">
        <f>'P3'!U12</f>
        <v>520767288</v>
      </c>
      <c r="S17" s="54">
        <f>'P3'!V12</f>
        <v>520767288</v>
      </c>
      <c r="T17" s="54">
        <f>'P3'!W12</f>
        <v>520767288</v>
      </c>
      <c r="U17" s="54">
        <f>'P3'!X12</f>
        <v>520767288</v>
      </c>
      <c r="V17" s="54">
        <f>'P3'!Y12</f>
        <v>10740529210.194</v>
      </c>
      <c r="W17" s="217">
        <f t="shared" si="1"/>
        <v>3.5998583743778001E-3</v>
      </c>
    </row>
    <row r="18" spans="1:23" s="203" customFormat="1" ht="15" x14ac:dyDescent="0.2">
      <c r="A18" s="202" t="str">
        <f>'PPP_V3_y Costos'!C11</f>
        <v xml:space="preserve">4. Mejora de la gestión del agua y del suelo en el cultivo de maíz. </v>
      </c>
      <c r="B18" s="166">
        <f>'P4'!E7</f>
        <v>706550282.5</v>
      </c>
      <c r="C18" s="166">
        <f>'P4'!F7</f>
        <v>8510793005.000001</v>
      </c>
      <c r="D18" s="166">
        <f>'P4'!G7</f>
        <v>8510793005.000001</v>
      </c>
      <c r="E18" s="166">
        <f>'P4'!H7</f>
        <v>8098854387.000001</v>
      </c>
      <c r="F18" s="166">
        <f>'P4'!I7</f>
        <v>7686915769.000001</v>
      </c>
      <c r="G18" s="166">
        <f>'P4'!J7</f>
        <v>5890561184.000001</v>
      </c>
      <c r="H18" s="166">
        <f>'P4'!K7</f>
        <v>5684591875.000001</v>
      </c>
      <c r="I18" s="166">
        <f>'P4'!L7</f>
        <v>5890561184.000001</v>
      </c>
      <c r="J18" s="166">
        <f>'P4'!M7</f>
        <v>5684591875.000001</v>
      </c>
      <c r="K18" s="166">
        <f>'P4'!N7</f>
        <v>5890561184.000001</v>
      </c>
      <c r="L18" s="166">
        <f>'P4'!O7</f>
        <v>5684591875.000001</v>
      </c>
      <c r="M18" s="166">
        <f>'P4'!P7</f>
        <v>4203061184.000001</v>
      </c>
      <c r="N18" s="166">
        <f>'P4'!Q7</f>
        <v>3997091875.000001</v>
      </c>
      <c r="O18" s="166">
        <f>'P4'!R7</f>
        <v>3997091875.000001</v>
      </c>
      <c r="P18" s="166">
        <f>'P4'!S7</f>
        <v>3997091875.000001</v>
      </c>
      <c r="Q18" s="166">
        <f>'P4'!T7</f>
        <v>3997091875.000001</v>
      </c>
      <c r="R18" s="166">
        <f>'P4'!U7</f>
        <v>3997091875.000001</v>
      </c>
      <c r="S18" s="166">
        <f>'P4'!V7</f>
        <v>3997091875.000001</v>
      </c>
      <c r="T18" s="166">
        <f>'P4'!W7</f>
        <v>3997091875.000001</v>
      </c>
      <c r="U18" s="166">
        <f>'P4'!X7</f>
        <v>3997091875.000001</v>
      </c>
      <c r="V18" s="166">
        <f>'P4'!Y7</f>
        <v>104419161809.5</v>
      </c>
      <c r="W18" s="310">
        <f t="shared" ref="W18:W27" si="2">V18/V$42</f>
        <v>3.4997734909437445E-2</v>
      </c>
    </row>
    <row r="19" spans="1:23" s="203" customFormat="1" x14ac:dyDescent="0.2">
      <c r="A19" s="204" t="str">
        <f>'PPP_V3_y Costos'!D11</f>
        <v>4.1. Contribución a la gestión del ordenamiento ambiental, fuera de la frontera agrícola.</v>
      </c>
      <c r="B19" s="54">
        <f>'P4'!E8</f>
        <v>205969309</v>
      </c>
      <c r="C19" s="54">
        <f>'P4'!F8</f>
        <v>823877236</v>
      </c>
      <c r="D19" s="54">
        <f>'P4'!G8</f>
        <v>823877236</v>
      </c>
      <c r="E19" s="54">
        <f>'P4'!H8</f>
        <v>411938618</v>
      </c>
      <c r="F19" s="54">
        <f>'P4'!I8</f>
        <v>0</v>
      </c>
      <c r="G19" s="54">
        <f>'P4'!J8</f>
        <v>205969309</v>
      </c>
      <c r="H19" s="54">
        <f>'P4'!K8</f>
        <v>0</v>
      </c>
      <c r="I19" s="54">
        <f>'P4'!L8</f>
        <v>205969309</v>
      </c>
      <c r="J19" s="54">
        <f>'P4'!M8</f>
        <v>0</v>
      </c>
      <c r="K19" s="54">
        <f>'P4'!N8</f>
        <v>205969309</v>
      </c>
      <c r="L19" s="54">
        <f>'P4'!O8</f>
        <v>0</v>
      </c>
      <c r="M19" s="54">
        <f>'P4'!P8</f>
        <v>205969309</v>
      </c>
      <c r="N19" s="54">
        <f>'P4'!Q8</f>
        <v>0</v>
      </c>
      <c r="O19" s="54">
        <f>'P4'!R8</f>
        <v>0</v>
      </c>
      <c r="P19" s="54">
        <f>'P4'!S8</f>
        <v>0</v>
      </c>
      <c r="Q19" s="54">
        <f>'P4'!T8</f>
        <v>0</v>
      </c>
      <c r="R19" s="54">
        <f>'P4'!U8</f>
        <v>0</v>
      </c>
      <c r="S19" s="54">
        <f>'P4'!V8</f>
        <v>0</v>
      </c>
      <c r="T19" s="54">
        <f>'P4'!W8</f>
        <v>0</v>
      </c>
      <c r="U19" s="54">
        <f>'P4'!X8</f>
        <v>0</v>
      </c>
      <c r="V19" s="54">
        <f>'P4'!Y8</f>
        <v>3089539635</v>
      </c>
      <c r="W19" s="217">
        <f t="shared" si="2"/>
        <v>1.0355081123443071E-3</v>
      </c>
    </row>
    <row r="20" spans="1:23" s="203" customFormat="1" x14ac:dyDescent="0.2">
      <c r="A20" s="204" t="str">
        <f>'PPP_V3_y Costos'!D12</f>
        <v>4.2. Promoción del manejo eficiente del suelo y del agua, en la producción de maíz.</v>
      </c>
      <c r="B20" s="54">
        <f>'P4'!E9</f>
        <v>500580973.5</v>
      </c>
      <c r="C20" s="54">
        <f>'P4'!F9</f>
        <v>7686915769.000001</v>
      </c>
      <c r="D20" s="54">
        <f>'P4'!G9</f>
        <v>7686915769.000001</v>
      </c>
      <c r="E20" s="54">
        <f>'P4'!H9</f>
        <v>7686915769.000001</v>
      </c>
      <c r="F20" s="54">
        <f>'P4'!I9</f>
        <v>7686915769.000001</v>
      </c>
      <c r="G20" s="54">
        <f>'P4'!J9</f>
        <v>5684591875.000001</v>
      </c>
      <c r="H20" s="54">
        <f>'P4'!K9</f>
        <v>5684591875.000001</v>
      </c>
      <c r="I20" s="54">
        <f>'P4'!L9</f>
        <v>5684591875.000001</v>
      </c>
      <c r="J20" s="54">
        <f>'P4'!M9</f>
        <v>5684591875.000001</v>
      </c>
      <c r="K20" s="54">
        <f>'P4'!N9</f>
        <v>5684591875.000001</v>
      </c>
      <c r="L20" s="54">
        <f>'P4'!O9</f>
        <v>5684591875.000001</v>
      </c>
      <c r="M20" s="54">
        <f>'P4'!P9</f>
        <v>3997091875.000001</v>
      </c>
      <c r="N20" s="54">
        <f>'P4'!Q9</f>
        <v>3997091875.000001</v>
      </c>
      <c r="O20" s="54">
        <f>'P4'!R9</f>
        <v>3997091875.000001</v>
      </c>
      <c r="P20" s="54">
        <f>'P4'!S9</f>
        <v>3997091875.000001</v>
      </c>
      <c r="Q20" s="54">
        <f>'P4'!T9</f>
        <v>3997091875.000001</v>
      </c>
      <c r="R20" s="54">
        <f>'P4'!U9</f>
        <v>3997091875.000001</v>
      </c>
      <c r="S20" s="54">
        <f>'P4'!V9</f>
        <v>3997091875.000001</v>
      </c>
      <c r="T20" s="54">
        <f>'P4'!W9</f>
        <v>3997091875.000001</v>
      </c>
      <c r="U20" s="54">
        <f>'P4'!X9</f>
        <v>3997091875.000001</v>
      </c>
      <c r="V20" s="54">
        <f>'P4'!Y9</f>
        <v>101329622174.50002</v>
      </c>
      <c r="W20" s="217">
        <f t="shared" si="2"/>
        <v>3.396222679709314E-2</v>
      </c>
    </row>
    <row r="21" spans="1:23" s="203" customFormat="1" ht="22.5" customHeight="1" x14ac:dyDescent="0.2">
      <c r="A21" s="202" t="str">
        <f>'PPP_V3_y Costos'!C13</f>
        <v xml:space="preserve">5. Fortalecimiento de la gestión ambiental en la cadena maicera.
</v>
      </c>
      <c r="B21" s="166">
        <f>'P5'!E7</f>
        <v>674788448.37700009</v>
      </c>
      <c r="C21" s="166">
        <f>'P5'!F7</f>
        <v>2699153793.5080004</v>
      </c>
      <c r="D21" s="166">
        <f>'P5'!G7</f>
        <v>2699153793.5080004</v>
      </c>
      <c r="E21" s="166">
        <f>'P5'!H7</f>
        <v>2024365345.1310003</v>
      </c>
      <c r="F21" s="166">
        <f>'P5'!I7</f>
        <v>0</v>
      </c>
      <c r="G21" s="166">
        <f>'P5'!J7</f>
        <v>0</v>
      </c>
      <c r="H21" s="166">
        <f>'P5'!K7</f>
        <v>2699153793.5080004</v>
      </c>
      <c r="I21" s="166">
        <f>'P5'!L7</f>
        <v>0</v>
      </c>
      <c r="J21" s="166">
        <f>'P5'!M7</f>
        <v>0</v>
      </c>
      <c r="K21" s="166">
        <f>'P5'!N7</f>
        <v>2699153793.5080004</v>
      </c>
      <c r="L21" s="166">
        <f>'P5'!O7</f>
        <v>0</v>
      </c>
      <c r="M21" s="166">
        <f>'P5'!P7</f>
        <v>0</v>
      </c>
      <c r="N21" s="166">
        <f>'P5'!Q7</f>
        <v>2699153793.5080004</v>
      </c>
      <c r="O21" s="166">
        <f>'P5'!R7</f>
        <v>0</v>
      </c>
      <c r="P21" s="166">
        <f>'P5'!S7</f>
        <v>0</v>
      </c>
      <c r="Q21" s="166">
        <f>'P5'!T7</f>
        <v>2699153793.5080004</v>
      </c>
      <c r="R21" s="166">
        <f>'P5'!U7</f>
        <v>0</v>
      </c>
      <c r="S21" s="166">
        <f>'P5'!V7</f>
        <v>0</v>
      </c>
      <c r="T21" s="166">
        <f>'P5'!W7</f>
        <v>2699153793.5080004</v>
      </c>
      <c r="U21" s="166">
        <f>'P5'!X7</f>
        <v>0</v>
      </c>
      <c r="V21" s="166">
        <f>'P5'!Y7</f>
        <v>21593230348.063999</v>
      </c>
      <c r="W21" s="310">
        <f t="shared" si="2"/>
        <v>7.2373129458620979E-3</v>
      </c>
    </row>
    <row r="22" spans="1:23" s="203" customFormat="1" x14ac:dyDescent="0.2">
      <c r="A22" s="204" t="str">
        <f>'PPP_V3_y Costos'!D13</f>
        <v>5.1. Mejora del desempeño ambiental de la cadena de maíz.</v>
      </c>
      <c r="B22" s="54">
        <f>'P5'!E8</f>
        <v>674788448.37700009</v>
      </c>
      <c r="C22" s="54">
        <f>'P5'!F8</f>
        <v>2699153793.5080004</v>
      </c>
      <c r="D22" s="54">
        <f>'P5'!G8</f>
        <v>2699153793.5080004</v>
      </c>
      <c r="E22" s="54">
        <f>'P5'!H8</f>
        <v>2024365345.1310003</v>
      </c>
      <c r="F22" s="54" t="str">
        <f>'P5'!I8</f>
        <v>Por definir</v>
      </c>
      <c r="G22" s="54" t="str">
        <f>'P5'!J8</f>
        <v>Por definir</v>
      </c>
      <c r="H22" s="54">
        <f>'P5'!K8</f>
        <v>2699153793.5080004</v>
      </c>
      <c r="I22" s="54" t="str">
        <f>'P5'!L8</f>
        <v>Por definir</v>
      </c>
      <c r="J22" s="54" t="str">
        <f>'P5'!M8</f>
        <v>Por definir</v>
      </c>
      <c r="K22" s="54">
        <f>'P5'!N8</f>
        <v>2699153793.5080004</v>
      </c>
      <c r="L22" s="54" t="str">
        <f>'P5'!O8</f>
        <v>Por definir</v>
      </c>
      <c r="M22" s="54" t="str">
        <f>'P5'!P8</f>
        <v>Por definir</v>
      </c>
      <c r="N22" s="54">
        <f>'P5'!Q8</f>
        <v>2699153793.5080004</v>
      </c>
      <c r="O22" s="54" t="str">
        <f>'P5'!R8</f>
        <v>Por definir</v>
      </c>
      <c r="P22" s="54" t="str">
        <f>'P5'!S8</f>
        <v>Por definir</v>
      </c>
      <c r="Q22" s="54">
        <f>'P5'!T8</f>
        <v>2699153793.5080004</v>
      </c>
      <c r="R22" s="54" t="str">
        <f>'P5'!U8</f>
        <v>Por definir</v>
      </c>
      <c r="S22" s="54" t="str">
        <f>'P5'!V8</f>
        <v>Por definir</v>
      </c>
      <c r="T22" s="54">
        <f>'P5'!W8</f>
        <v>2699153793.5080004</v>
      </c>
      <c r="U22" s="54" t="str">
        <f>'P5'!X8</f>
        <v>Por definir</v>
      </c>
      <c r="V22" s="54">
        <f>'P5'!Y8</f>
        <v>21593230348.063999</v>
      </c>
      <c r="W22" s="217">
        <f t="shared" si="2"/>
        <v>7.2373129458620979E-3</v>
      </c>
    </row>
    <row r="23" spans="1:23" s="203" customFormat="1" ht="30" x14ac:dyDescent="0.2">
      <c r="A23" s="202" t="str">
        <f>'PPP_V3_y Costos'!C14</f>
        <v xml:space="preserve">6. Contribución al mejoramiento en las condiciones de vida de la población vinculada a la cadena de maíz. </v>
      </c>
      <c r="B23" s="166">
        <f>'P6'!E7</f>
        <v>1959455896.0999999</v>
      </c>
      <c r="C23" s="166">
        <f>'P6'!F7</f>
        <v>12710343817.51111</v>
      </c>
      <c r="D23" s="166">
        <f>'P6'!G7</f>
        <v>12514667742.844444</v>
      </c>
      <c r="E23" s="166">
        <f>'P6'!H7</f>
        <v>11731957546.657778</v>
      </c>
      <c r="F23" s="166">
        <f>'P6'!I7</f>
        <v>11559058167.082312</v>
      </c>
      <c r="G23" s="166">
        <f>'P6'!J7</f>
        <v>11396532750.281372</v>
      </c>
      <c r="H23" s="166">
        <f>'P6'!K7</f>
        <v>11842533544.488489</v>
      </c>
      <c r="I23" s="166">
        <f>'P6'!L7</f>
        <v>11100151400.20318</v>
      </c>
      <c r="J23" s="166">
        <f>'P6'!M7</f>
        <v>10965160389.414989</v>
      </c>
      <c r="K23" s="166">
        <f>'P6'!N7</f>
        <v>10838268839.27409</v>
      </c>
      <c r="L23" s="166">
        <f>'P6'!O7</f>
        <v>11317765468.141645</v>
      </c>
      <c r="M23" s="166">
        <f>'P6'!P7</f>
        <v>10606869408.437147</v>
      </c>
      <c r="N23" s="166">
        <f>'P6'!Q7</f>
        <v>10501475317.154917</v>
      </c>
      <c r="O23" s="166">
        <f>'P6'!R7</f>
        <v>10402404871.349623</v>
      </c>
      <c r="P23" s="166">
        <f>'P6'!S7</f>
        <v>10908053338.292645</v>
      </c>
      <c r="Q23" s="166">
        <f>'P6'!T7</f>
        <v>10221740006.379086</v>
      </c>
      <c r="R23" s="166">
        <f>'P6'!U7</f>
        <v>10139453679.220341</v>
      </c>
      <c r="S23" s="166">
        <f>'P6'!V7</f>
        <v>10062104531.69112</v>
      </c>
      <c r="T23" s="166">
        <f>'P6'!W7</f>
        <v>10588171019.013653</v>
      </c>
      <c r="U23" s="166">
        <f>'P6'!X7</f>
        <v>7454295919.8568344</v>
      </c>
      <c r="V23" s="166">
        <f>'P6'!Y7</f>
        <v>208820463653.39481</v>
      </c>
      <c r="W23" s="310">
        <f t="shared" si="2"/>
        <v>6.9989483768700664E-2</v>
      </c>
    </row>
    <row r="24" spans="1:23" s="203" customFormat="1" x14ac:dyDescent="0.2">
      <c r="A24" s="204" t="str">
        <f>'PPP_V3_y Costos'!D14</f>
        <v>6.1  Promoción de la atención de las necesidades básicas de los actores vinculados a la cadena.</v>
      </c>
      <c r="B24" s="54">
        <f>'P6'!E8</f>
        <v>839055476</v>
      </c>
      <c r="C24" s="54">
        <f>'P6'!F8</f>
        <v>3356221904</v>
      </c>
      <c r="D24" s="54">
        <f>'P6'!G8</f>
        <v>3356221904</v>
      </c>
      <c r="E24" s="54">
        <f>'P6'!H8</f>
        <v>3356221904</v>
      </c>
      <c r="F24" s="54">
        <f>'P6'!I8</f>
        <v>3356221904</v>
      </c>
      <c r="G24" s="54">
        <f>'P6'!J8</f>
        <v>3356221904</v>
      </c>
      <c r="H24" s="54">
        <f>'P6'!K8</f>
        <v>3356221904</v>
      </c>
      <c r="I24" s="54">
        <f>'P6'!L8</f>
        <v>3356221904</v>
      </c>
      <c r="J24" s="54">
        <f>'P6'!M8</f>
        <v>3356221904</v>
      </c>
      <c r="K24" s="54">
        <f>'P6'!N8</f>
        <v>3356221904</v>
      </c>
      <c r="L24" s="54">
        <f>'P6'!O8</f>
        <v>3356221904</v>
      </c>
      <c r="M24" s="54">
        <f>'P6'!P8</f>
        <v>3356221904</v>
      </c>
      <c r="N24" s="54">
        <f>'P6'!Q8</f>
        <v>3356221904</v>
      </c>
      <c r="O24" s="54">
        <f>'P6'!R8</f>
        <v>3356221904</v>
      </c>
      <c r="P24" s="54">
        <f>'P6'!S8</f>
        <v>3356221904</v>
      </c>
      <c r="Q24" s="54">
        <f>'P6'!T8</f>
        <v>3356221904</v>
      </c>
      <c r="R24" s="54">
        <f>'P6'!U8</f>
        <v>3356221904</v>
      </c>
      <c r="S24" s="54">
        <f>'P6'!V8</f>
        <v>3356221904</v>
      </c>
      <c r="T24" s="54">
        <f>'P6'!W8</f>
        <v>3356221904</v>
      </c>
      <c r="U24" s="54">
        <f>'P6'!X8</f>
        <v>3356221904</v>
      </c>
      <c r="V24" s="54">
        <f>'P6'!Y8</f>
        <v>64607271652</v>
      </c>
      <c r="W24" s="217">
        <f t="shared" si="2"/>
        <v>2.1654149749102795E-2</v>
      </c>
    </row>
    <row r="25" spans="1:23" s="203" customFormat="1" x14ac:dyDescent="0.2">
      <c r="A25" s="204" t="str">
        <f>'P6'!B9</f>
        <v>6.2. Contribución al incremento del nivel educativo de los actores vinculados a la cadena.</v>
      </c>
      <c r="B25" s="54">
        <f>'P6'!E9</f>
        <v>177009036</v>
      </c>
      <c r="C25" s="54">
        <f>'P6'!F9</f>
        <v>708036144</v>
      </c>
      <c r="D25" s="54">
        <f>'P6'!G9</f>
        <v>708036144</v>
      </c>
      <c r="E25" s="54">
        <f>'P6'!H9</f>
        <v>708036144</v>
      </c>
      <c r="F25" s="54">
        <f>'P6'!I9</f>
        <v>708036144</v>
      </c>
      <c r="G25" s="54">
        <f>'P6'!J9</f>
        <v>708036144</v>
      </c>
      <c r="H25" s="54">
        <f>'P6'!K9</f>
        <v>708036144</v>
      </c>
      <c r="I25" s="54">
        <f>'P6'!L9</f>
        <v>708036144</v>
      </c>
      <c r="J25" s="54">
        <f>'P6'!M9</f>
        <v>708036144</v>
      </c>
      <c r="K25" s="54">
        <f>'P6'!N9</f>
        <v>708036144</v>
      </c>
      <c r="L25" s="54">
        <f>'P6'!O9</f>
        <v>708036144</v>
      </c>
      <c r="M25" s="54">
        <f>'P6'!P9</f>
        <v>708036144</v>
      </c>
      <c r="N25" s="54">
        <f>'P6'!Q9</f>
        <v>708036144</v>
      </c>
      <c r="O25" s="54">
        <f>'P6'!R9</f>
        <v>708036144</v>
      </c>
      <c r="P25" s="54">
        <f>'P6'!S9</f>
        <v>708036144</v>
      </c>
      <c r="Q25" s="54">
        <f>'P6'!T9</f>
        <v>708036144</v>
      </c>
      <c r="R25" s="54">
        <f>'P6'!U9</f>
        <v>708036144</v>
      </c>
      <c r="S25" s="54">
        <f>'P6'!V9</f>
        <v>708036144</v>
      </c>
      <c r="T25" s="54">
        <f>'P6'!W9</f>
        <v>708036144</v>
      </c>
      <c r="U25" s="54">
        <f>'P6'!X9</f>
        <v>708036144</v>
      </c>
      <c r="V25" s="54">
        <f>'P6'!Y9</f>
        <v>13629695772</v>
      </c>
      <c r="W25" s="217">
        <f t="shared" si="2"/>
        <v>4.5682082795778425E-3</v>
      </c>
    </row>
    <row r="26" spans="1:23" s="203" customFormat="1" x14ac:dyDescent="0.2">
      <c r="A26" s="204" t="str">
        <f>'P6'!B10</f>
        <v>6.3. Mejora en las capacidades técnicas de los agentes económicos de la cadena</v>
      </c>
      <c r="B26" s="54">
        <f>'P6'!E10</f>
        <v>177009036</v>
      </c>
      <c r="C26" s="54">
        <f>'P6'!F10</f>
        <v>5580556377.1111107</v>
      </c>
      <c r="D26" s="54">
        <f>'P6'!G10</f>
        <v>5384880302.4444447</v>
      </c>
      <c r="E26" s="54">
        <f>'P6'!H10</f>
        <v>5200944792.2577782</v>
      </c>
      <c r="F26" s="54">
        <f>'P6'!I10</f>
        <v>5028045412.6823111</v>
      </c>
      <c r="G26" s="54">
        <f>'P6'!J10</f>
        <v>4865519995.8813725</v>
      </c>
      <c r="H26" s="54">
        <f>'P6'!K10</f>
        <v>4712746104.0884895</v>
      </c>
      <c r="I26" s="54">
        <f>'P6'!L10</f>
        <v>4569138645.8031807</v>
      </c>
      <c r="J26" s="54">
        <f>'P6'!M10</f>
        <v>4434147635.0149899</v>
      </c>
      <c r="K26" s="54">
        <f>'P6'!N10</f>
        <v>4307256084.8740902</v>
      </c>
      <c r="L26" s="54">
        <f>'P6'!O10</f>
        <v>4187978027.7416449</v>
      </c>
      <c r="M26" s="54">
        <f>'P6'!P10</f>
        <v>4075856654.0371466</v>
      </c>
      <c r="N26" s="54">
        <f>'P6'!Q10</f>
        <v>3970462562.7549176</v>
      </c>
      <c r="O26" s="54">
        <f>'P6'!R10</f>
        <v>3871392116.9496226</v>
      </c>
      <c r="P26" s="54">
        <f>'P6'!S10</f>
        <v>3778265897.8926454</v>
      </c>
      <c r="Q26" s="54">
        <f>'P6'!T10</f>
        <v>3690727251.9790864</v>
      </c>
      <c r="R26" s="54">
        <f>'P6'!U10</f>
        <v>3608440924.8203416</v>
      </c>
      <c r="S26" s="54">
        <f>'P6'!V10</f>
        <v>3531091777.291121</v>
      </c>
      <c r="T26" s="54">
        <f>'P6'!W10</f>
        <v>3458383578.6136537</v>
      </c>
      <c r="U26" s="54">
        <f>'P6'!X10</f>
        <v>3390037871.8568344</v>
      </c>
      <c r="V26" s="54">
        <f>'P6'!Y10</f>
        <v>81822881050.094788</v>
      </c>
      <c r="W26" s="217">
        <f t="shared" si="2"/>
        <v>2.7424233741140027E-2</v>
      </c>
    </row>
    <row r="27" spans="1:23" s="203" customFormat="1" ht="28.5" x14ac:dyDescent="0.2">
      <c r="A27" s="204" t="str">
        <f>'P6'!B11</f>
        <v>6.4. Promoción de la generación del empleo formal y la mejora de las condiciones laborales a lo largo de la cadena.</v>
      </c>
      <c r="B27" s="54">
        <f>'P6'!E11</f>
        <v>616688676.60000002</v>
      </c>
      <c r="C27" s="54">
        <f>'P6'!F11</f>
        <v>2466754706.4000001</v>
      </c>
      <c r="D27" s="54">
        <f>'P6'!G11</f>
        <v>2466754706.4000001</v>
      </c>
      <c r="E27" s="54">
        <f>'P6'!H11</f>
        <v>2466754706.4000001</v>
      </c>
      <c r="F27" s="54">
        <f>'P6'!I11</f>
        <v>2466754706.4000001</v>
      </c>
      <c r="G27" s="54">
        <f>'P6'!J11</f>
        <v>2466754706.4000001</v>
      </c>
      <c r="H27" s="54">
        <f>'P6'!K11</f>
        <v>2466754706.4000001</v>
      </c>
      <c r="I27" s="54">
        <f>'P6'!L11</f>
        <v>2466754706.4000001</v>
      </c>
      <c r="J27" s="54">
        <f>'P6'!M11</f>
        <v>2466754706.4000001</v>
      </c>
      <c r="K27" s="54">
        <f>'P6'!N11</f>
        <v>2466754706.4000001</v>
      </c>
      <c r="L27" s="54">
        <f>'P6'!O11</f>
        <v>2466754706.4000001</v>
      </c>
      <c r="M27" s="54">
        <f>'P6'!P11</f>
        <v>2466754706.4000001</v>
      </c>
      <c r="N27" s="54">
        <f>'P6'!Q11</f>
        <v>2466754706.4000001</v>
      </c>
      <c r="O27" s="54">
        <f>'P6'!R11</f>
        <v>2466754706.4000001</v>
      </c>
      <c r="P27" s="54">
        <f>'P6'!S11</f>
        <v>2466754706.4000001</v>
      </c>
      <c r="Q27" s="54">
        <f>'P6'!T11</f>
        <v>2466754706.4000001</v>
      </c>
      <c r="R27" s="54">
        <f>'P6'!U11</f>
        <v>2466754706.4000001</v>
      </c>
      <c r="S27" s="54">
        <f>'P6'!V11</f>
        <v>2466754706.4000001</v>
      </c>
      <c r="T27" s="54">
        <f>'P6'!W11</f>
        <v>2466754706.4000001</v>
      </c>
      <c r="U27" s="54">
        <f>'P6'!X11</f>
        <v>0</v>
      </c>
      <c r="V27" s="54">
        <f>'P6'!Y11</f>
        <v>45018273391.800011</v>
      </c>
      <c r="W27" s="217">
        <f t="shared" si="2"/>
        <v>1.5088586912057136E-2</v>
      </c>
    </row>
    <row r="28" spans="1:23" s="203" customFormat="1" ht="28.5" x14ac:dyDescent="0.2">
      <c r="A28" s="204" t="str">
        <f>'P6'!B12</f>
        <v>6.5. Contribución a la mejora de condiciones de conectividad vial y de servicios públicos, en las regiones maiceras.</v>
      </c>
      <c r="B28" s="54">
        <f>'P6'!E12</f>
        <v>149693671.5</v>
      </c>
      <c r="C28" s="54">
        <f>'P6'!F12</f>
        <v>598774686</v>
      </c>
      <c r="D28" s="54">
        <f>'P6'!G12</f>
        <v>598774686</v>
      </c>
      <c r="E28" s="54">
        <f>'P6'!H12</f>
        <v>0</v>
      </c>
      <c r="F28" s="54">
        <f>'P6'!I12</f>
        <v>0</v>
      </c>
      <c r="G28" s="54">
        <f>'P6'!J12</f>
        <v>0</v>
      </c>
      <c r="H28" s="54">
        <f>'P6'!K12</f>
        <v>598774686</v>
      </c>
      <c r="I28" s="54">
        <f>'P6'!L12</f>
        <v>0</v>
      </c>
      <c r="J28" s="54">
        <f>'P6'!M12</f>
        <v>0</v>
      </c>
      <c r="K28" s="54">
        <f>'P6'!N12</f>
        <v>0</v>
      </c>
      <c r="L28" s="54">
        <f>'P6'!O12</f>
        <v>598774686</v>
      </c>
      <c r="M28" s="54">
        <f>'P6'!P12</f>
        <v>0</v>
      </c>
      <c r="N28" s="54">
        <f>'P6'!Q12</f>
        <v>0</v>
      </c>
      <c r="O28" s="54">
        <f>'P6'!R12</f>
        <v>0</v>
      </c>
      <c r="P28" s="54">
        <f>'P6'!S12</f>
        <v>598774686</v>
      </c>
      <c r="Q28" s="54">
        <f>'P6'!T12</f>
        <v>0</v>
      </c>
      <c r="R28" s="54">
        <f>'P6'!U12</f>
        <v>0</v>
      </c>
      <c r="S28" s="54">
        <f>'P6'!V12</f>
        <v>0</v>
      </c>
      <c r="T28" s="54">
        <f>'P6'!W12</f>
        <v>598774686</v>
      </c>
      <c r="U28" s="54">
        <f>'P6'!X12</f>
        <v>0</v>
      </c>
      <c r="V28" s="54">
        <f>'P6'!Y12</f>
        <v>3742341787.5</v>
      </c>
      <c r="W28" s="217"/>
    </row>
    <row r="29" spans="1:23" s="203" customFormat="1" ht="15" x14ac:dyDescent="0.2">
      <c r="A29" s="202" t="str">
        <f>'P7'!B4</f>
        <v>7. Contribución al ordenamiento productivo y social de la propiedad.</v>
      </c>
      <c r="B29" s="166">
        <f>'P7'!E7</f>
        <v>714210270.5</v>
      </c>
      <c r="C29" s="166">
        <f>'P7'!F7</f>
        <v>2856841082</v>
      </c>
      <c r="D29" s="166">
        <f>'P7'!G7</f>
        <v>2856841082</v>
      </c>
      <c r="E29" s="166">
        <f>'P7'!H7</f>
        <v>2856841082</v>
      </c>
      <c r="F29" s="166">
        <f>'P7'!I7</f>
        <v>2856841082</v>
      </c>
      <c r="G29" s="166">
        <f>'P7'!J7</f>
        <v>2673166650</v>
      </c>
      <c r="H29" s="166">
        <f>'P7'!K7</f>
        <v>2673166650</v>
      </c>
      <c r="I29" s="166">
        <f>'P7'!L7</f>
        <v>2673166650</v>
      </c>
      <c r="J29" s="166">
        <f>'P7'!M7</f>
        <v>2673166650</v>
      </c>
      <c r="K29" s="166">
        <f>'P7'!N7</f>
        <v>2673166650</v>
      </c>
      <c r="L29" s="166">
        <f>'P7'!O7</f>
        <v>2673166650</v>
      </c>
      <c r="M29" s="166">
        <f>'P7'!P7</f>
        <v>2673166650</v>
      </c>
      <c r="N29" s="166">
        <f>'P7'!Q7</f>
        <v>2673166650</v>
      </c>
      <c r="O29" s="166">
        <f>'P7'!R7</f>
        <v>2673166650</v>
      </c>
      <c r="P29" s="166">
        <f>'P7'!S7</f>
        <v>2673166650</v>
      </c>
      <c r="Q29" s="166">
        <f>'P7'!T7</f>
        <v>2673166650</v>
      </c>
      <c r="R29" s="166">
        <f>'P7'!U7</f>
        <v>2673166650</v>
      </c>
      <c r="S29" s="166">
        <f>'P7'!V7</f>
        <v>2673166650</v>
      </c>
      <c r="T29" s="166">
        <f>'P7'!W7</f>
        <v>2673166650</v>
      </c>
      <c r="U29" s="166">
        <f>'P7'!X7</f>
        <v>2673166650</v>
      </c>
      <c r="V29" s="166">
        <f>'P7'!Y7</f>
        <v>52239074348.5</v>
      </c>
      <c r="W29" s="310">
        <f t="shared" ref="W29:W35" si="3">V29/V$42</f>
        <v>1.7508752649237062E-2</v>
      </c>
    </row>
    <row r="30" spans="1:23" s="203" customFormat="1" ht="28.5" x14ac:dyDescent="0.2">
      <c r="A30" s="204" t="str">
        <f>'P7'!B8</f>
        <v>7.1. Articulación con las políticas de ordenamiento productivo y social de la propiedad rural para el cultivo de maíz.</v>
      </c>
      <c r="B30" s="54"/>
      <c r="C30" s="54">
        <f>'P7'!F8</f>
        <v>739902990</v>
      </c>
      <c r="D30" s="54">
        <f>'P7'!G8</f>
        <v>739902990</v>
      </c>
      <c r="E30" s="54">
        <f>'P7'!H8</f>
        <v>739902990</v>
      </c>
      <c r="F30" s="54">
        <f>'P7'!I8</f>
        <v>739902990</v>
      </c>
      <c r="G30" s="54">
        <f>'P7'!J8</f>
        <v>739902990</v>
      </c>
      <c r="H30" s="54">
        <f>'P7'!K8</f>
        <v>739902990</v>
      </c>
      <c r="I30" s="54">
        <f>'P7'!L8</f>
        <v>739902990</v>
      </c>
      <c r="J30" s="54">
        <f>'P7'!M8</f>
        <v>739902990</v>
      </c>
      <c r="K30" s="54">
        <f>'P7'!N8</f>
        <v>739902990</v>
      </c>
      <c r="L30" s="54">
        <f>'P7'!O8</f>
        <v>739902990</v>
      </c>
      <c r="M30" s="54">
        <f>'P7'!P8</f>
        <v>739902990</v>
      </c>
      <c r="N30" s="54">
        <f>'P7'!Q8</f>
        <v>739902990</v>
      </c>
      <c r="O30" s="54">
        <f>'P7'!R8</f>
        <v>739902990</v>
      </c>
      <c r="P30" s="54">
        <f>'P7'!S8</f>
        <v>739902990</v>
      </c>
      <c r="Q30" s="54">
        <f>'P7'!T8</f>
        <v>739902990</v>
      </c>
      <c r="R30" s="54">
        <f>'P7'!U8</f>
        <v>739902990</v>
      </c>
      <c r="S30" s="54">
        <f>'P7'!V8</f>
        <v>739902990</v>
      </c>
      <c r="T30" s="54">
        <f>'P7'!W8</f>
        <v>739902990</v>
      </c>
      <c r="U30" s="54">
        <f>'P7'!X8</f>
        <v>739902990</v>
      </c>
      <c r="V30" s="54">
        <f>'P7'!Y8</f>
        <v>14243132557.5</v>
      </c>
      <c r="W30" s="217">
        <f t="shared" si="3"/>
        <v>4.7738113282002189E-3</v>
      </c>
    </row>
    <row r="31" spans="1:23" s="203" customFormat="1" ht="28.5" x14ac:dyDescent="0.2">
      <c r="A31" s="204" t="str">
        <f>'PPP_V3_y Costos'!D20</f>
        <v xml:space="preserve">7.2  Fortalecimiento en el acceso y la seguridad jurídica de los predios e inversiones para el cultivo de maíz. </v>
      </c>
      <c r="B31" s="54">
        <f>'P7'!E9</f>
        <v>529234523</v>
      </c>
      <c r="C31" s="54">
        <f>'P7'!F9</f>
        <v>2116938092</v>
      </c>
      <c r="D31" s="54">
        <f>'P7'!G9</f>
        <v>2116938092</v>
      </c>
      <c r="E31" s="54">
        <f>'P7'!H9</f>
        <v>2116938092</v>
      </c>
      <c r="F31" s="54">
        <f>'P7'!I9</f>
        <v>2116938092</v>
      </c>
      <c r="G31" s="54">
        <f>'P7'!J9</f>
        <v>1933263660</v>
      </c>
      <c r="H31" s="54">
        <f>'P7'!K9</f>
        <v>1933263660</v>
      </c>
      <c r="I31" s="54">
        <f>'P7'!L9</f>
        <v>1933263660</v>
      </c>
      <c r="J31" s="54">
        <f>'P7'!M9</f>
        <v>1933263660</v>
      </c>
      <c r="K31" s="54">
        <f>'P7'!N9</f>
        <v>1933263660</v>
      </c>
      <c r="L31" s="54">
        <f>'P7'!O9</f>
        <v>1933263660</v>
      </c>
      <c r="M31" s="54">
        <f>'P7'!P9</f>
        <v>1933263660</v>
      </c>
      <c r="N31" s="54">
        <f>'P7'!Q9</f>
        <v>1933263660</v>
      </c>
      <c r="O31" s="54">
        <f>'P7'!R9</f>
        <v>1933263660</v>
      </c>
      <c r="P31" s="54">
        <f>'P7'!S9</f>
        <v>1933263660</v>
      </c>
      <c r="Q31" s="54">
        <f>'P7'!T9</f>
        <v>1933263660</v>
      </c>
      <c r="R31" s="54">
        <f>'P7'!U9</f>
        <v>1933263660</v>
      </c>
      <c r="S31" s="54">
        <f>'P7'!V9</f>
        <v>1933263660</v>
      </c>
      <c r="T31" s="54">
        <f>'P7'!W9</f>
        <v>1933263660</v>
      </c>
      <c r="U31" s="54">
        <f>'P7'!X9</f>
        <v>1933263660</v>
      </c>
      <c r="V31" s="54">
        <f>'P7'!Y9</f>
        <v>37995941791</v>
      </c>
      <c r="W31" s="217">
        <f t="shared" si="3"/>
        <v>1.2734941321036843E-2</v>
      </c>
    </row>
    <row r="32" spans="1:23" s="203" customFormat="1" ht="15" x14ac:dyDescent="0.2">
      <c r="A32" s="202" t="str">
        <f>'PPP_V3_y Costos'!C21</f>
        <v>8. Fortalecimiento del desarrollo tecnológico y la innovación en la cadena de maíz.</v>
      </c>
      <c r="B32" s="166">
        <f>'P8'!E7</f>
        <v>1372151353.5009999</v>
      </c>
      <c r="C32" s="166">
        <f>'P8'!F7</f>
        <v>4006419856.0019999</v>
      </c>
      <c r="D32" s="166">
        <f>'P8'!G7</f>
        <v>4006419856.0019999</v>
      </c>
      <c r="E32" s="166">
        <f>'P8'!H7</f>
        <v>3375361281.5019999</v>
      </c>
      <c r="F32" s="166">
        <f>'P8'!I7</f>
        <v>1482185558.0020001</v>
      </c>
      <c r="G32" s="166">
        <f>'P8'!J7</f>
        <v>370546389.50050002</v>
      </c>
      <c r="H32" s="166">
        <f>'P8'!K7</f>
        <v>2524234298</v>
      </c>
      <c r="I32" s="166">
        <f>'P8'!L7</f>
        <v>0</v>
      </c>
      <c r="J32" s="166">
        <f>'P8'!M7</f>
        <v>0</v>
      </c>
      <c r="K32" s="166">
        <f>'P8'!N7</f>
        <v>2524234298</v>
      </c>
      <c r="L32" s="166">
        <f>'P8'!O7</f>
        <v>0</v>
      </c>
      <c r="M32" s="166">
        <f>'P8'!P7</f>
        <v>0</v>
      </c>
      <c r="N32" s="166">
        <f>'P8'!Q7</f>
        <v>2524234298</v>
      </c>
      <c r="O32" s="166">
        <f>'P8'!R7</f>
        <v>0</v>
      </c>
      <c r="P32" s="166">
        <f>'P8'!S7</f>
        <v>0</v>
      </c>
      <c r="Q32" s="166">
        <f>'P8'!T7</f>
        <v>2524234298</v>
      </c>
      <c r="R32" s="166">
        <f>'P8'!U7</f>
        <v>0</v>
      </c>
      <c r="S32" s="166">
        <f>'P8'!V7</f>
        <v>0</v>
      </c>
      <c r="T32" s="166">
        <f>'P8'!W7</f>
        <v>2524234298</v>
      </c>
      <c r="U32" s="166">
        <f>'P8'!X7</f>
        <v>0</v>
      </c>
      <c r="V32" s="166">
        <f>'P8'!Y7</f>
        <v>27234255784.509499</v>
      </c>
      <c r="W32" s="310">
        <f t="shared" si="3"/>
        <v>9.1279919114937852E-3</v>
      </c>
    </row>
    <row r="33" spans="1:23" s="203" customFormat="1" x14ac:dyDescent="0.2">
      <c r="A33" s="204" t="str">
        <f>'PPP_V3_y Costos'!D21</f>
        <v>8.1. Fortalecimiento de los procesos I+D+i para la cadena de maíz y sus derivados.</v>
      </c>
      <c r="B33" s="54">
        <f>'P8'!E8</f>
        <v>741092779.00100005</v>
      </c>
      <c r="C33" s="54">
        <f>'P8'!F8</f>
        <v>1482185558.0020001</v>
      </c>
      <c r="D33" s="54">
        <f>'P8'!G8</f>
        <v>1482185558.0020001</v>
      </c>
      <c r="E33" s="54">
        <f>'P8'!H8</f>
        <v>1482185558.0020001</v>
      </c>
      <c r="F33" s="54">
        <f>'P8'!I8</f>
        <v>1482185558.0020001</v>
      </c>
      <c r="G33" s="54">
        <f>'P8'!J8</f>
        <v>370546389.50050002</v>
      </c>
      <c r="H33" s="54" t="str">
        <f>'P8'!K8</f>
        <v>Por definir</v>
      </c>
      <c r="I33" s="54" t="str">
        <f>'P8'!L8</f>
        <v>Por definir</v>
      </c>
      <c r="J33" s="54" t="str">
        <f>'P8'!M8</f>
        <v>Por definir</v>
      </c>
      <c r="K33" s="54" t="str">
        <f>'P8'!N8</f>
        <v>Por definir</v>
      </c>
      <c r="L33" s="54" t="str">
        <f>'P8'!O8</f>
        <v>Por definir</v>
      </c>
      <c r="M33" s="54" t="str">
        <f>'P8'!P8</f>
        <v>Por definir</v>
      </c>
      <c r="N33" s="54" t="str">
        <f>'P8'!Q8</f>
        <v>Por definir</v>
      </c>
      <c r="O33" s="54" t="str">
        <f>'P8'!R8</f>
        <v>Por definir</v>
      </c>
      <c r="P33" s="54" t="str">
        <f>'P8'!S8</f>
        <v>Por definir</v>
      </c>
      <c r="Q33" s="54" t="str">
        <f>'P8'!T8</f>
        <v>Por definir</v>
      </c>
      <c r="R33" s="54" t="str">
        <f>'P8'!U8</f>
        <v>Por definir</v>
      </c>
      <c r="S33" s="54" t="str">
        <f>'P8'!V8</f>
        <v>Por definir</v>
      </c>
      <c r="T33" s="54" t="str">
        <f>'P8'!W8</f>
        <v>Por definir</v>
      </c>
      <c r="U33" s="54" t="str">
        <f>'P8'!X8</f>
        <v>Por definir</v>
      </c>
      <c r="V33" s="54">
        <f>'P8'!Y8</f>
        <v>7040381400.5094995</v>
      </c>
      <c r="W33" s="217">
        <f t="shared" si="3"/>
        <v>2.3596952670994174E-3</v>
      </c>
    </row>
    <row r="34" spans="1:23" s="203" customFormat="1" x14ac:dyDescent="0.2">
      <c r="A34" s="204" t="str">
        <f>'PPP_V3_y Costos'!D22</f>
        <v>8.2. Fortalecimiento del talento humano en I+D+i, y en extensionismo agrícola e industrial.</v>
      </c>
      <c r="B34" s="54">
        <f>'P8'!E9</f>
        <v>631058574.5</v>
      </c>
      <c r="C34" s="54">
        <f>'P8'!F9</f>
        <v>2524234298</v>
      </c>
      <c r="D34" s="54">
        <f>'P8'!G9</f>
        <v>2524234298</v>
      </c>
      <c r="E34" s="54">
        <f>'P8'!H9</f>
        <v>1893175723.5</v>
      </c>
      <c r="F34" s="54" t="str">
        <f>'P8'!I9</f>
        <v>Por definir</v>
      </c>
      <c r="G34" s="54" t="str">
        <f>'P8'!J9</f>
        <v>Por definir</v>
      </c>
      <c r="H34" s="54">
        <f>'P8'!K9</f>
        <v>2524234298</v>
      </c>
      <c r="I34" s="54" t="str">
        <f>'P8'!L9</f>
        <v>Por definir</v>
      </c>
      <c r="J34" s="54" t="str">
        <f>'P8'!M9</f>
        <v>Por definir</v>
      </c>
      <c r="K34" s="54">
        <f>'P8'!N9</f>
        <v>2524234298</v>
      </c>
      <c r="L34" s="54" t="str">
        <f>'P8'!O9</f>
        <v>Por definir</v>
      </c>
      <c r="M34" s="54" t="str">
        <f>'P8'!P9</f>
        <v>Por definir</v>
      </c>
      <c r="N34" s="54">
        <f>'P8'!Q9</f>
        <v>2524234298</v>
      </c>
      <c r="O34" s="54" t="str">
        <f>'P8'!R9</f>
        <v>Por definir</v>
      </c>
      <c r="P34" s="54" t="str">
        <f>'P8'!S9</f>
        <v>Por definir</v>
      </c>
      <c r="Q34" s="54">
        <f>'P8'!T9</f>
        <v>2524234298</v>
      </c>
      <c r="R34" s="54" t="str">
        <f>'P8'!U9</f>
        <v>Por definir</v>
      </c>
      <c r="S34" s="54" t="str">
        <f>'P8'!V9</f>
        <v>Por definir</v>
      </c>
      <c r="T34" s="54">
        <f>'P8'!W9</f>
        <v>2524234298</v>
      </c>
      <c r="U34" s="54" t="str">
        <f>'P8'!X9</f>
        <v>Por definir</v>
      </c>
      <c r="V34" s="54">
        <f>'P8'!Y9</f>
        <v>20193874384</v>
      </c>
      <c r="W34" s="217">
        <f t="shared" si="3"/>
        <v>6.7682966443943678E-3</v>
      </c>
    </row>
    <row r="35" spans="1:23" s="203" customFormat="1" ht="15" x14ac:dyDescent="0.2">
      <c r="A35" s="202" t="str">
        <f>'PPP_V3_y Costos'!C23</f>
        <v>9. Fortalecimiento de la gestión institucional de la cadena de maíz</v>
      </c>
      <c r="B35" s="166">
        <f>'P9'!E7</f>
        <v>2881306180</v>
      </c>
      <c r="C35" s="166">
        <f>'P9'!F7</f>
        <v>2504495959.75</v>
      </c>
      <c r="D35" s="166">
        <f>'P9'!G7</f>
        <v>675685534</v>
      </c>
      <c r="E35" s="166">
        <f>'P9'!H7</f>
        <v>0</v>
      </c>
      <c r="F35" s="166">
        <f>'P9'!I7</f>
        <v>0</v>
      </c>
      <c r="G35" s="166">
        <f>'P9'!J7</f>
        <v>1547336232.75</v>
      </c>
      <c r="H35" s="166">
        <f>'P9'!K7</f>
        <v>0</v>
      </c>
      <c r="I35" s="166">
        <f>'P9'!L7</f>
        <v>0</v>
      </c>
      <c r="J35" s="166">
        <f>'P9'!M7</f>
        <v>0</v>
      </c>
      <c r="K35" s="166">
        <f>'P9'!N7</f>
        <v>652978695.75</v>
      </c>
      <c r="L35" s="166">
        <f>'P9'!O7</f>
        <v>894357537</v>
      </c>
      <c r="M35" s="166">
        <f>'P9'!P7</f>
        <v>0</v>
      </c>
      <c r="N35" s="166">
        <f>'P9'!Q7</f>
        <v>0</v>
      </c>
      <c r="O35" s="166">
        <f>'P9'!R7</f>
        <v>0</v>
      </c>
      <c r="P35" s="166">
        <f>'P9'!S7</f>
        <v>652978695.75</v>
      </c>
      <c r="Q35" s="166">
        <f>'P9'!T7</f>
        <v>894357537</v>
      </c>
      <c r="R35" s="166">
        <f>'P9'!U7</f>
        <v>0</v>
      </c>
      <c r="S35" s="166">
        <f>'P9'!V7</f>
        <v>0</v>
      </c>
      <c r="T35" s="166">
        <f>'P9'!W7</f>
        <v>0</v>
      </c>
      <c r="U35" s="166">
        <f>'P9'!X7</f>
        <v>982697615.75</v>
      </c>
      <c r="V35" s="166">
        <f>'P9'!Y7</f>
        <v>11686193987.75</v>
      </c>
      <c r="W35" s="310">
        <f t="shared" si="3"/>
        <v>3.9168128933048611E-3</v>
      </c>
    </row>
    <row r="36" spans="1:23" s="203" customFormat="1" x14ac:dyDescent="0.2">
      <c r="A36" s="204" t="str">
        <f>'PPP_V3_y Costos'!D23</f>
        <v>9.1. Fortalecimiento del Sistema de Inspección, Vigilancia y Control para la cadena de maíz.</v>
      </c>
      <c r="B36" s="54">
        <f>'P9'!E8</f>
        <v>881873797.5</v>
      </c>
      <c r="C36" s="54">
        <f>'P9'!F8</f>
        <v>1175831730</v>
      </c>
      <c r="D36" s="54" t="str">
        <f>'P9'!G8</f>
        <v xml:space="preserve">Por definir </v>
      </c>
      <c r="E36" s="54" t="str">
        <f>'P9'!H8</f>
        <v xml:space="preserve">Por definir </v>
      </c>
      <c r="F36" s="54" t="str">
        <f>'P9'!I8</f>
        <v xml:space="preserve">Por definir </v>
      </c>
      <c r="G36" s="54" t="str">
        <f>'P9'!J8</f>
        <v xml:space="preserve">Por definir </v>
      </c>
      <c r="H36" s="54" t="str">
        <f>'P9'!K8</f>
        <v xml:space="preserve">Por definir </v>
      </c>
      <c r="I36" s="54" t="str">
        <f>'P9'!L8</f>
        <v xml:space="preserve">Por definir </v>
      </c>
      <c r="J36" s="54" t="str">
        <f>'P9'!M8</f>
        <v xml:space="preserve">Por definir </v>
      </c>
      <c r="K36" s="54" t="str">
        <f>'P9'!N8</f>
        <v xml:space="preserve">Por definir </v>
      </c>
      <c r="L36" s="54" t="str">
        <f>'P9'!O8</f>
        <v xml:space="preserve">Por definir </v>
      </c>
      <c r="M36" s="54" t="str">
        <f>'P9'!P8</f>
        <v xml:space="preserve">Por definir </v>
      </c>
      <c r="N36" s="54" t="str">
        <f>'P9'!Q8</f>
        <v xml:space="preserve">Por definir </v>
      </c>
      <c r="O36" s="54" t="str">
        <f>'P9'!R8</f>
        <v xml:space="preserve">Por definir </v>
      </c>
      <c r="P36" s="54" t="str">
        <f>'P9'!S8</f>
        <v xml:space="preserve">Por definir </v>
      </c>
      <c r="Q36" s="54" t="str">
        <f>'P9'!T8</f>
        <v xml:space="preserve">Por definir </v>
      </c>
      <c r="R36" s="54" t="str">
        <f>'P9'!U8</f>
        <v xml:space="preserve">Por definir </v>
      </c>
      <c r="S36" s="54" t="str">
        <f>'P9'!V8</f>
        <v xml:space="preserve">Por definir </v>
      </c>
      <c r="T36" s="54" t="str">
        <f>'P9'!W8</f>
        <v xml:space="preserve">Por definir </v>
      </c>
      <c r="U36" s="54" t="str">
        <f>'P9'!X8</f>
        <v xml:space="preserve">Por definir </v>
      </c>
      <c r="V36" s="54">
        <f>'P9'!Y8</f>
        <v>2057705527.5</v>
      </c>
      <c r="W36" s="217">
        <f>V36/V42</f>
        <v>6.8967257853028705E-4</v>
      </c>
    </row>
    <row r="37" spans="1:23" s="203" customFormat="1" ht="28.5" x14ac:dyDescent="0.2">
      <c r="A37" s="204" t="str">
        <f>'PPP_V3_y Costos'!D24</f>
        <v>9.2. Diseño y mejora de los instrumentos de financiamiento, comercialización, gestión de riesgos y empresarización para la cadena de maíz.</v>
      </c>
      <c r="B37" s="54">
        <f>'P9'!E9</f>
        <v>247289190</v>
      </c>
      <c r="C37" s="54" t="str">
        <f>'P9'!F9</f>
        <v>Por definir</v>
      </c>
      <c r="D37" s="54" t="str">
        <f>'P9'!G9</f>
        <v xml:space="preserve">Por definir </v>
      </c>
      <c r="E37" s="54" t="str">
        <f>'P9'!H9</f>
        <v xml:space="preserve">Por definir </v>
      </c>
      <c r="F37" s="54" t="str">
        <f>'P9'!I9</f>
        <v xml:space="preserve">Por definir </v>
      </c>
      <c r="G37" s="54">
        <f>'P9'!J9</f>
        <v>329718920</v>
      </c>
      <c r="H37" s="54">
        <f>'P9'!K9</f>
        <v>0</v>
      </c>
      <c r="I37" s="54">
        <f>'P9'!L9</f>
        <v>0</v>
      </c>
      <c r="J37" s="54">
        <f>'P9'!M9</f>
        <v>0</v>
      </c>
      <c r="K37" s="54">
        <f>'P9'!N9</f>
        <v>0</v>
      </c>
      <c r="L37" s="54">
        <f>'P9'!O9</f>
        <v>329718920</v>
      </c>
      <c r="M37" s="54">
        <f>'P9'!P9</f>
        <v>0</v>
      </c>
      <c r="N37" s="54">
        <f>'P9'!Q9</f>
        <v>0</v>
      </c>
      <c r="O37" s="54">
        <f>'P9'!R9</f>
        <v>0</v>
      </c>
      <c r="P37" s="54">
        <f>'P9'!S9</f>
        <v>0</v>
      </c>
      <c r="Q37" s="54">
        <f>'P9'!T9</f>
        <v>329718920</v>
      </c>
      <c r="R37" s="54">
        <f>'P9'!U9</f>
        <v>0</v>
      </c>
      <c r="S37" s="54">
        <f>'P9'!V9</f>
        <v>0</v>
      </c>
      <c r="T37" s="54">
        <f>'P9'!W9</f>
        <v>0</v>
      </c>
      <c r="U37" s="54">
        <f>'P9'!X9</f>
        <v>329718920</v>
      </c>
      <c r="V37" s="54">
        <f>'P9'!Y9</f>
        <v>1566164870</v>
      </c>
      <c r="W37" s="217">
        <f>V37/V42</f>
        <v>5.2492494667532154E-4</v>
      </c>
    </row>
    <row r="38" spans="1:23" s="203" customFormat="1" ht="28.5" x14ac:dyDescent="0.2">
      <c r="A38" s="204" t="str">
        <f>'PPP_V3_y Costos'!D25</f>
        <v>9.3. Fortalecimiento de mecanismos institucionales para el impulso a las inversiones en producción de maíz a mediana y gran escala.</v>
      </c>
      <c r="B38" s="54">
        <f>'P9'!E10</f>
        <v>652978695.75</v>
      </c>
      <c r="C38" s="54">
        <f>'P9'!F10</f>
        <v>652978695.75</v>
      </c>
      <c r="D38" s="54" t="str">
        <f>'P9'!G10</f>
        <v xml:space="preserve">Por definir </v>
      </c>
      <c r="E38" s="54" t="str">
        <f>'P9'!H10</f>
        <v xml:space="preserve">Por definir </v>
      </c>
      <c r="F38" s="54" t="str">
        <f>'P9'!I10</f>
        <v>Por definir</v>
      </c>
      <c r="G38" s="54">
        <f>'P9'!J10</f>
        <v>652978695.75</v>
      </c>
      <c r="H38" s="54" t="str">
        <f>'P9'!K10</f>
        <v xml:space="preserve">Por definir </v>
      </c>
      <c r="I38" s="54" t="str">
        <f>'P9'!L10</f>
        <v>Por definir</v>
      </c>
      <c r="J38" s="54" t="str">
        <f>'P9'!M10</f>
        <v xml:space="preserve">Por definir </v>
      </c>
      <c r="K38" s="54">
        <f>'P9'!N10</f>
        <v>652978695.75</v>
      </c>
      <c r="L38" s="54" t="str">
        <f>'P9'!O10</f>
        <v xml:space="preserve">Por definir </v>
      </c>
      <c r="M38" s="54" t="str">
        <f>'P9'!P10</f>
        <v xml:space="preserve">Por definir </v>
      </c>
      <c r="N38" s="54" t="str">
        <f>'P9'!Q10</f>
        <v xml:space="preserve">Por definir </v>
      </c>
      <c r="O38" s="54" t="str">
        <f>'P9'!R10</f>
        <v>Por definir</v>
      </c>
      <c r="P38" s="54">
        <f>'P9'!S10</f>
        <v>652978695.75</v>
      </c>
      <c r="Q38" s="54" t="str">
        <f>'P9'!T10</f>
        <v xml:space="preserve">Por definir </v>
      </c>
      <c r="R38" s="54" t="str">
        <f>'P9'!U10</f>
        <v>Por definir</v>
      </c>
      <c r="S38" s="54" t="str">
        <f>'P9'!V10</f>
        <v xml:space="preserve">Por definir </v>
      </c>
      <c r="T38" s="54" t="str">
        <f>'P9'!W10</f>
        <v xml:space="preserve">Por definir </v>
      </c>
      <c r="U38" s="54">
        <f>'P9'!X10</f>
        <v>652978695.75</v>
      </c>
      <c r="V38" s="54">
        <f>'P9'!Y10</f>
        <v>3917872174.5</v>
      </c>
      <c r="W38" s="217"/>
    </row>
    <row r="39" spans="1:23" s="203" customFormat="1" x14ac:dyDescent="0.2">
      <c r="A39" s="204" t="str">
        <f>'PPP_V3_y Costos'!D26</f>
        <v>9.4. Diseño y operación del Sistema nacional de Información para la cadena de maíz.</v>
      </c>
      <c r="B39" s="54">
        <f>'P9'!E11</f>
        <v>423478962.75</v>
      </c>
      <c r="C39" s="54" t="str">
        <f>'P9'!F11</f>
        <v>Por definir</v>
      </c>
      <c r="D39" s="54" t="str">
        <f>'P9'!G11</f>
        <v xml:space="preserve">Por definir </v>
      </c>
      <c r="E39" s="54" t="str">
        <f>'P9'!H11</f>
        <v xml:space="preserve">Por definir </v>
      </c>
      <c r="F39" s="54" t="str">
        <f>'P9'!I11</f>
        <v>Por definir</v>
      </c>
      <c r="G39" s="54">
        <f>'P9'!J11</f>
        <v>564638617</v>
      </c>
      <c r="H39" s="54" t="str">
        <f>'P9'!K11</f>
        <v xml:space="preserve">Por definir </v>
      </c>
      <c r="I39" s="54" t="str">
        <f>'P9'!L11</f>
        <v>Por definir</v>
      </c>
      <c r="J39" s="54" t="str">
        <f>'P9'!M11</f>
        <v xml:space="preserve">Por definir </v>
      </c>
      <c r="K39" s="54" t="str">
        <f>'P9'!N11</f>
        <v xml:space="preserve">Por definir </v>
      </c>
      <c r="L39" s="54">
        <f>'P9'!O11</f>
        <v>564638617</v>
      </c>
      <c r="M39" s="54" t="str">
        <f>'P9'!P11</f>
        <v xml:space="preserve">Por definir </v>
      </c>
      <c r="N39" s="54" t="str">
        <f>'P9'!Q11</f>
        <v xml:space="preserve">Por definir </v>
      </c>
      <c r="O39" s="54" t="str">
        <f>'P9'!R11</f>
        <v>Por definir</v>
      </c>
      <c r="P39" s="54" t="str">
        <f>'P9'!S11</f>
        <v xml:space="preserve">Por definir </v>
      </c>
      <c r="Q39" s="54">
        <f>'P9'!T11</f>
        <v>564638617</v>
      </c>
      <c r="R39" s="54" t="str">
        <f>'P9'!U11</f>
        <v>Por definir</v>
      </c>
      <c r="S39" s="54" t="str">
        <f>'P9'!V11</f>
        <v xml:space="preserve">Por definir </v>
      </c>
      <c r="T39" s="54" t="str">
        <f>'P9'!W11</f>
        <v xml:space="preserve">Por definir </v>
      </c>
      <c r="U39" s="54" t="str">
        <f>'P9'!X11</f>
        <v xml:space="preserve">Por definir </v>
      </c>
      <c r="V39" s="54">
        <f>'P9'!Y11</f>
        <v>2117394813.75</v>
      </c>
      <c r="W39" s="217">
        <f>V39/V42</f>
        <v>7.0967838762615149E-4</v>
      </c>
    </row>
    <row r="40" spans="1:23" s="203" customFormat="1" x14ac:dyDescent="0.2">
      <c r="A40" s="206" t="str">
        <f>'PPP_V3_y Costos'!D27</f>
        <v>9.5. Constitución y fortalecimiento de la Organización de Cadena de maíz.</v>
      </c>
      <c r="B40" s="54">
        <f>'P9'!E12</f>
        <v>320314491</v>
      </c>
      <c r="C40" s="54">
        <f>'P9'!F12</f>
        <v>320314491</v>
      </c>
      <c r="D40" s="54">
        <f>'P9'!G12</f>
        <v>320314491</v>
      </c>
      <c r="E40" s="54" t="str">
        <f>'P9'!H12</f>
        <v xml:space="preserve">Por definir </v>
      </c>
      <c r="F40" s="54" t="str">
        <f>'P9'!I12</f>
        <v xml:space="preserve">Por definir </v>
      </c>
      <c r="G40" s="54" t="str">
        <f>'P9'!J12</f>
        <v xml:space="preserve">Por definir </v>
      </c>
      <c r="H40" s="54" t="str">
        <f>'P9'!K12</f>
        <v xml:space="preserve">Por definir </v>
      </c>
      <c r="I40" s="54" t="str">
        <f>'P9'!L12</f>
        <v xml:space="preserve">Por definir </v>
      </c>
      <c r="J40" s="54" t="str">
        <f>'P9'!M12</f>
        <v xml:space="preserve">Por definir </v>
      </c>
      <c r="K40" s="54" t="str">
        <f>'P9'!N12</f>
        <v xml:space="preserve">Por definir </v>
      </c>
      <c r="L40" s="54" t="str">
        <f>'P9'!O12</f>
        <v xml:space="preserve">Por definir </v>
      </c>
      <c r="M40" s="54" t="str">
        <f>'P9'!P12</f>
        <v xml:space="preserve">Por definir </v>
      </c>
      <c r="N40" s="54" t="str">
        <f>'P9'!Q12</f>
        <v xml:space="preserve">Por definir </v>
      </c>
      <c r="O40" s="54" t="str">
        <f>'P9'!R12</f>
        <v xml:space="preserve">Por definir </v>
      </c>
      <c r="P40" s="54" t="str">
        <f>'P9'!S12</f>
        <v xml:space="preserve">Por definir </v>
      </c>
      <c r="Q40" s="54" t="str">
        <f>'P9'!T12</f>
        <v xml:space="preserve">Por definir </v>
      </c>
      <c r="R40" s="54" t="str">
        <f>'P9'!U12</f>
        <v xml:space="preserve">Por definir </v>
      </c>
      <c r="S40" s="54" t="str">
        <f>'P9'!V12</f>
        <v xml:space="preserve">Por definir </v>
      </c>
      <c r="T40" s="54" t="str">
        <f>'P9'!W12</f>
        <v xml:space="preserve">Por definir </v>
      </c>
      <c r="U40" s="54" t="str">
        <f>'P9'!X12</f>
        <v xml:space="preserve">Por definir </v>
      </c>
      <c r="V40" s="54">
        <f>'P9'!Y12</f>
        <v>960943473</v>
      </c>
      <c r="W40" s="217">
        <f>V40/V42</f>
        <v>3.2207541554837919E-4</v>
      </c>
    </row>
    <row r="41" spans="1:23" s="203" customFormat="1" x14ac:dyDescent="0.2">
      <c r="A41" s="206" t="str">
        <f>'PPP_V3_y Costos'!D28</f>
        <v>9.6. Adopción, promoción y monitoreo de la política pública para la cadena de maíz.</v>
      </c>
      <c r="B41" s="54">
        <f>'P9'!E13</f>
        <v>355371043</v>
      </c>
      <c r="C41" s="54">
        <f>'P9'!F13</f>
        <v>355371043</v>
      </c>
      <c r="D41" s="54">
        <f>'P9'!G13</f>
        <v>355371043</v>
      </c>
      <c r="E41" s="54" t="str">
        <f>'P9'!H13</f>
        <v xml:space="preserve">Por definir </v>
      </c>
      <c r="F41" s="54" t="str">
        <f>'P9'!I13</f>
        <v xml:space="preserve">Por definir </v>
      </c>
      <c r="G41" s="54" t="str">
        <f>'P9'!J13</f>
        <v xml:space="preserve">Por definir </v>
      </c>
      <c r="H41" s="54" t="str">
        <f>'P9'!K13</f>
        <v xml:space="preserve">Por definir </v>
      </c>
      <c r="I41" s="54" t="str">
        <f>'P9'!L13</f>
        <v xml:space="preserve">Por definir </v>
      </c>
      <c r="J41" s="54" t="str">
        <f>'P9'!M13</f>
        <v xml:space="preserve">Por definir </v>
      </c>
      <c r="K41" s="54" t="str">
        <f>'P9'!N13</f>
        <v xml:space="preserve">Por definir </v>
      </c>
      <c r="L41" s="54" t="str">
        <f>'P9'!O13</f>
        <v xml:space="preserve">Por definir </v>
      </c>
      <c r="M41" s="54" t="str">
        <f>'P9'!P13</f>
        <v xml:space="preserve">Por definir </v>
      </c>
      <c r="N41" s="54" t="str">
        <f>'P9'!Q13</f>
        <v xml:space="preserve">Por definir </v>
      </c>
      <c r="O41" s="54" t="str">
        <f>'P9'!R13</f>
        <v xml:space="preserve">Por definir </v>
      </c>
      <c r="P41" s="54" t="str">
        <f>'P9'!S13</f>
        <v xml:space="preserve">Por definir </v>
      </c>
      <c r="Q41" s="54" t="str">
        <f>'P9'!T13</f>
        <v xml:space="preserve">Por definir </v>
      </c>
      <c r="R41" s="54" t="str">
        <f>'P9'!U13</f>
        <v xml:space="preserve">Por definir </v>
      </c>
      <c r="S41" s="54" t="str">
        <f>'P9'!V13</f>
        <v xml:space="preserve">Por definir </v>
      </c>
      <c r="T41" s="54" t="str">
        <f>'P9'!W13</f>
        <v xml:space="preserve">Por definir </v>
      </c>
      <c r="U41" s="54" t="str">
        <f>'P9'!X13</f>
        <v xml:space="preserve">Por definir </v>
      </c>
      <c r="V41" s="54">
        <f>'P9'!Y13</f>
        <v>1066113129</v>
      </c>
      <c r="W41" s="217">
        <f>V41/V42</f>
        <v>3.5732469046517761E-4</v>
      </c>
    </row>
    <row r="42" spans="1:23" s="208" customFormat="1" ht="15.75" x14ac:dyDescent="0.2">
      <c r="A42" s="207" t="s">
        <v>286</v>
      </c>
      <c r="B42" s="170">
        <f>B6+B9+B12+B18+B21+B23+B29+B32+B35</f>
        <v>12904997111.008997</v>
      </c>
      <c r="C42" s="170">
        <f t="shared" ref="C42:W42" si="4">C6+C9+C12+C18+C21+C23+C29+C32+C35</f>
        <v>199913015238.65717</v>
      </c>
      <c r="D42" s="170">
        <f t="shared" si="4"/>
        <v>197888528738.24051</v>
      </c>
      <c r="E42" s="170">
        <f t="shared" si="4"/>
        <v>194712347367.17685</v>
      </c>
      <c r="F42" s="170">
        <f t="shared" si="4"/>
        <v>190209968300.97037</v>
      </c>
      <c r="G42" s="170">
        <f t="shared" si="4"/>
        <v>186267614903.41791</v>
      </c>
      <c r="H42" s="170">
        <f t="shared" si="4"/>
        <v>181248904158.37051</v>
      </c>
      <c r="I42" s="170">
        <f t="shared" si="4"/>
        <v>175489103231.57721</v>
      </c>
      <c r="J42" s="170">
        <f t="shared" si="4"/>
        <v>175148142911.789</v>
      </c>
      <c r="K42" s="170">
        <f t="shared" si="4"/>
        <v>181103587457.9061</v>
      </c>
      <c r="L42" s="170">
        <f t="shared" si="4"/>
        <v>175145840842.20364</v>
      </c>
      <c r="M42" s="170">
        <f t="shared" si="4"/>
        <v>122398941657.29318</v>
      </c>
      <c r="N42" s="170">
        <f t="shared" si="4"/>
        <v>127310966348.51895</v>
      </c>
      <c r="O42" s="170">
        <f t="shared" si="4"/>
        <v>121988507811.20566</v>
      </c>
      <c r="P42" s="170">
        <f t="shared" si="4"/>
        <v>123147134973.89868</v>
      </c>
      <c r="Q42" s="170">
        <f t="shared" si="4"/>
        <v>127925588574.74312</v>
      </c>
      <c r="R42" s="170">
        <f t="shared" si="4"/>
        <v>121725556619.07637</v>
      </c>
      <c r="S42" s="170">
        <f t="shared" si="4"/>
        <v>121648207471.54715</v>
      </c>
      <c r="T42" s="170">
        <f t="shared" si="4"/>
        <v>127397662050.37769</v>
      </c>
      <c r="U42" s="170">
        <f t="shared" si="4"/>
        <v>120023096475.46286</v>
      </c>
      <c r="V42" s="170">
        <f t="shared" si="4"/>
        <v>2983597712243.4419</v>
      </c>
      <c r="W42" s="311">
        <f t="shared" si="4"/>
        <v>0.99999999999999989</v>
      </c>
    </row>
    <row r="43" spans="1:23" s="167" customFormat="1" x14ac:dyDescent="0.2">
      <c r="W43" s="312"/>
    </row>
  </sheetData>
  <sheetProtection algorithmName="SHA-512" hashValue="0l1SOqMLvBiH39uzPaK0CmsWb/Sdp4Xm5tuixvh089UPc0O4zkunW0ZBRipVC7/LUW13pYk8ft2SpSRnWqdoJg==" saltValue="4ao/h9Y54Co6Up8E/hgHrQ==" spinCount="100000" sheet="1" objects="1" scenarios="1"/>
  <mergeCells count="2">
    <mergeCell ref="A1:W1"/>
    <mergeCell ref="A2:W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70" zoomScaleNormal="70" workbookViewId="0">
      <selection activeCell="A40" sqref="A40"/>
    </sheetView>
  </sheetViews>
  <sheetFormatPr baseColWidth="10" defaultColWidth="10.85546875" defaultRowHeight="14.25" x14ac:dyDescent="0.2"/>
  <cols>
    <col min="1" max="1" width="100.42578125" style="53" customWidth="1"/>
    <col min="2" max="2" width="20.42578125" style="53" bestFit="1" customWidth="1"/>
    <col min="3" max="5" width="21.42578125" style="53" customWidth="1"/>
    <col min="6" max="6" width="11.42578125" style="53" customWidth="1"/>
    <col min="7" max="16384" width="10.85546875" style="53"/>
  </cols>
  <sheetData>
    <row r="1" spans="1:6" ht="18.75" customHeight="1" x14ac:dyDescent="0.25">
      <c r="A1" s="715" t="s">
        <v>287</v>
      </c>
      <c r="B1" s="715"/>
      <c r="C1" s="715"/>
      <c r="D1" s="715"/>
      <c r="E1" s="715"/>
    </row>
    <row r="2" spans="1:6" ht="18" x14ac:dyDescent="0.25">
      <c r="A2" s="715" t="s">
        <v>359</v>
      </c>
      <c r="B2" s="715"/>
      <c r="C2" s="715"/>
      <c r="D2" s="715"/>
      <c r="E2" s="715"/>
    </row>
    <row r="3" spans="1:6" ht="18.75" x14ac:dyDescent="0.3">
      <c r="A3" s="168"/>
      <c r="B3" s="169"/>
      <c r="C3" s="169"/>
      <c r="D3" s="169"/>
      <c r="E3" s="222"/>
    </row>
    <row r="4" spans="1:6" ht="18.75" x14ac:dyDescent="0.3">
      <c r="A4" s="343"/>
      <c r="B4" s="222"/>
      <c r="C4" s="222"/>
      <c r="D4" s="222"/>
      <c r="E4" s="222"/>
    </row>
    <row r="5" spans="1:6" hidden="1" x14ac:dyDescent="0.2">
      <c r="B5" s="53">
        <v>1000000</v>
      </c>
    </row>
    <row r="6" spans="1:6" ht="47.25" x14ac:dyDescent="0.2">
      <c r="A6" s="165" t="s">
        <v>285</v>
      </c>
      <c r="B6" s="216" t="s">
        <v>328</v>
      </c>
      <c r="C6" s="216" t="s">
        <v>330</v>
      </c>
      <c r="D6" s="216" t="s">
        <v>329</v>
      </c>
      <c r="E6" s="216" t="s">
        <v>25</v>
      </c>
      <c r="F6" s="374"/>
    </row>
    <row r="7" spans="1:6" s="203" customFormat="1" ht="15" x14ac:dyDescent="0.2">
      <c r="A7" s="166" t="str">
        <f>'Estimación anualizada '!A6</f>
        <v>1. Incremento del consumo de maíz nacional.</v>
      </c>
      <c r="B7" s="166">
        <f>'Estimación anualizada '!V6/$B$5</f>
        <v>133333.63232303745</v>
      </c>
      <c r="C7" s="166">
        <f>SUM('Estimación anualizada '!B6:E6)/$B$5</f>
        <v>40803.322755837493</v>
      </c>
      <c r="D7" s="166">
        <f>SUM('Estimación anualizada '!F6:M6)/$B$5</f>
        <v>54750.206783599984</v>
      </c>
      <c r="E7" s="166">
        <f>SUM('Estimación anualizada '!N6:U6)/$B$5</f>
        <v>37780.102783599999</v>
      </c>
      <c r="F7" s="310">
        <f>E7/$B$43</f>
        <v>1.2662599461236412E-2</v>
      </c>
    </row>
    <row r="8" spans="1:6" s="203" customFormat="1" x14ac:dyDescent="0.2">
      <c r="A8" s="54" t="str">
        <f>'Estimación anualizada '!A7</f>
        <v>1.1. Aumento de la participación del maíz nacional en el mercado de consumo animal.</v>
      </c>
      <c r="B8" s="54">
        <f>'Estimación anualizada '!V7/$B$5</f>
        <v>82195.085383750004</v>
      </c>
      <c r="C8" s="54">
        <f>SUM('Estimación anualizada '!B7:E7)/$B$5</f>
        <v>32169.542103749991</v>
      </c>
      <c r="D8" s="54">
        <f>SUM('Estimación anualizada '!F7:M7)/$B$5</f>
        <v>33497.823639999995</v>
      </c>
      <c r="E8" s="54">
        <f>SUM('Estimación anualizada '!N7:U7)/$B$5</f>
        <v>16527.719639999999</v>
      </c>
      <c r="F8" s="217">
        <f t="shared" ref="F8:F44" si="0">E8/$B$43</f>
        <v>5.5395268511492434E-3</v>
      </c>
    </row>
    <row r="9" spans="1:6" s="203" customFormat="1" x14ac:dyDescent="0.2">
      <c r="A9" s="54" t="str">
        <f>'Estimación anualizada '!A8</f>
        <v>1.2. Posicionamiento de la oferta del maíz nacional y sus derivados, para  alimentación humana y otros usos.</v>
      </c>
      <c r="B9" s="54">
        <f>'Estimación anualizada '!V8/$B$5</f>
        <v>51138.54693928748</v>
      </c>
      <c r="C9" s="54">
        <f>SUM('Estimación anualizada '!B8:E8)/$B$5</f>
        <v>8633.7806520875001</v>
      </c>
      <c r="D9" s="54">
        <f>SUM('Estimación anualizada '!F8:M8)/$B$5</f>
        <v>21252.383143600004</v>
      </c>
      <c r="E9" s="54">
        <f>SUM('Estimación anualizada '!N8:U8)/$B$5</f>
        <v>21252.383143600004</v>
      </c>
      <c r="F9" s="217">
        <f t="shared" si="0"/>
        <v>7.1230726100871703E-3</v>
      </c>
    </row>
    <row r="10" spans="1:6" s="203" customFormat="1" ht="15" x14ac:dyDescent="0.2">
      <c r="A10" s="166" t="str">
        <f>'Estimación anualizada '!A9</f>
        <v>2. Mejoramiento productivo del cultivo de maíz.</v>
      </c>
      <c r="B10" s="166">
        <f>'Estimación anualizada '!V9/$B$5</f>
        <v>1023770.878824</v>
      </c>
      <c r="C10" s="166">
        <f>SUM('Estimación anualizada '!B9:E9)/$B$5</f>
        <v>236422.08981400001</v>
      </c>
      <c r="D10" s="166">
        <f>SUM('Estimación anualizada '!F9:M9)/$B$5</f>
        <v>563780.10502599995</v>
      </c>
      <c r="E10" s="166">
        <f>SUM('Estimación anualizada '!N9:U9)/$B$5</f>
        <v>223568.683984</v>
      </c>
      <c r="F10" s="310">
        <f t="shared" si="0"/>
        <v>7.4932583258985372E-2</v>
      </c>
    </row>
    <row r="11" spans="1:6" s="203" customFormat="1" x14ac:dyDescent="0.2">
      <c r="A11" s="54" t="str">
        <f>'Estimación anualizada '!A10</f>
        <v>2.1. Implementación efectiva de la asistencia técnica en sistemas tecnificados de maíz.</v>
      </c>
      <c r="B11" s="54">
        <f>'Estimación anualizada '!V10/$B$5</f>
        <v>1016255.147306</v>
      </c>
      <c r="C11" s="54">
        <f>SUM('Estimación anualizada '!B10:E10)/$B$5</f>
        <v>234995.052184</v>
      </c>
      <c r="D11" s="54">
        <f>SUM('Estimación anualizada '!F10:M10)/$B$5</f>
        <v>560735.75808199996</v>
      </c>
      <c r="E11" s="54">
        <f>SUM('Estimación anualizada '!N10:U10)/$B$5</f>
        <v>220524.33704000001</v>
      </c>
      <c r="F11" s="217">
        <f t="shared" si="0"/>
        <v>7.3912222192375338E-2</v>
      </c>
    </row>
    <row r="12" spans="1:6" s="203" customFormat="1" x14ac:dyDescent="0.2">
      <c r="A12" s="54" t="str">
        <f>'Estimación anualizada '!A11</f>
        <v xml:space="preserve">2.2. Impulso a la producción de maíz a mediana y gran escala.  </v>
      </c>
      <c r="B12" s="54">
        <f>'Estimación anualizada '!V11/$B$5</f>
        <v>7515.7315179999996</v>
      </c>
      <c r="C12" s="54">
        <f>SUM('Estimación anualizada '!B11:E11)/$B$5</f>
        <v>1427.03763</v>
      </c>
      <c r="D12" s="54">
        <f>SUM('Estimación anualizada '!F11:M11)/$B$5</f>
        <v>3044.3469439999999</v>
      </c>
      <c r="E12" s="54">
        <f>SUM('Estimación anualizada '!N11:U11)/$B$5</f>
        <v>3044.3469439999999</v>
      </c>
      <c r="F12" s="217">
        <f t="shared" si="0"/>
        <v>1.0203610666100421E-3</v>
      </c>
    </row>
    <row r="13" spans="1:6" s="203" customFormat="1" ht="15" x14ac:dyDescent="0.2">
      <c r="A13" s="166" t="str">
        <f>'Estimación anualizada '!A12</f>
        <v xml:space="preserve">3. Generación y consolidación de encadenamientos regionales para la cadena de maíz. </v>
      </c>
      <c r="B13" s="166">
        <f>'Estimación anualizada '!V12/$B$5</f>
        <v>1400500.821164686</v>
      </c>
      <c r="C13" s="166">
        <f>SUM('Estimación anualizada '!B12:E12)/$B$5</f>
        <v>227246.02528485161</v>
      </c>
      <c r="D13" s="166">
        <f>SUM('Estimación anualizada '!F12:M12)/$B$5</f>
        <v>595276.82732858625</v>
      </c>
      <c r="E13" s="166">
        <f>SUM('Estimación anualizada '!N12:U12)/$B$5</f>
        <v>577977.9685512482</v>
      </c>
      <c r="F13" s="310">
        <f t="shared" si="0"/>
        <v>0.19371846485183555</v>
      </c>
    </row>
    <row r="14" spans="1:6" s="203" customFormat="1" x14ac:dyDescent="0.2">
      <c r="A14" s="54" t="str">
        <f>'Estimación anualizada '!A13</f>
        <v>3.1. Promoción y fortalecimiento de organizaciones de economía solidaria en la cadena de maíz.</v>
      </c>
      <c r="B14" s="54">
        <f>'Estimación anualizada '!V13/$B$5</f>
        <v>25936.173910000001</v>
      </c>
      <c r="C14" s="54">
        <f>SUM('Estimación anualizada '!B13:E13)/$B$5</f>
        <v>3112.60079</v>
      </c>
      <c r="D14" s="54">
        <f>SUM('Estimación anualizada '!F13:M13)/$B$5</f>
        <v>11161.78656</v>
      </c>
      <c r="E14" s="54">
        <f>SUM('Estimación anualizada '!N13:U13)/$B$5</f>
        <v>11661.78656</v>
      </c>
      <c r="F14" s="217">
        <f t="shared" si="0"/>
        <v>3.9086323575544006E-3</v>
      </c>
    </row>
    <row r="15" spans="1:6" s="203" customFormat="1" x14ac:dyDescent="0.2">
      <c r="A15" s="54" t="str">
        <f>'Estimación anualizada '!A14</f>
        <v>3.2. Promoción de la integración y las alianzas estratégicas regionales en la cadena de maíz.</v>
      </c>
      <c r="B15" s="54">
        <f>'Estimación anualizada '!V14/$B$5</f>
        <v>37997.628165499998</v>
      </c>
      <c r="C15" s="54">
        <f>SUM('Estimación anualizada '!B14:E14)/$B$5</f>
        <v>7870.9887294999999</v>
      </c>
      <c r="D15" s="54">
        <f>SUM('Estimación anualizada '!F14:M14)/$B$5</f>
        <v>15350.747836</v>
      </c>
      <c r="E15" s="54">
        <f>SUM('Estimación anualizada '!N14:U14)/$B$5</f>
        <v>14775.891600000001</v>
      </c>
      <c r="F15" s="217">
        <f t="shared" si="0"/>
        <v>4.9523739542250943E-3</v>
      </c>
    </row>
    <row r="16" spans="1:6" s="203" customFormat="1" x14ac:dyDescent="0.2">
      <c r="A16" s="54" t="str">
        <f>'Estimación anualizada '!A15</f>
        <v>3.3. Aumento de la capacidad instalada regional para el secamiento, almacenamiento, y  procesamiento agroindustrial de maíz.</v>
      </c>
      <c r="B16" s="54">
        <f>'Estimación anualizada '!V15/$B$5</f>
        <v>1295488.0026087963</v>
      </c>
      <c r="C16" s="54">
        <f>SUM('Estimación anualizada '!B15:E15)/$B$5</f>
        <v>206781.34412577763</v>
      </c>
      <c r="D16" s="54">
        <f>SUM('Estimación anualizada '!F15:M15)/$B$5</f>
        <v>549138.34075673029</v>
      </c>
      <c r="E16" s="54">
        <f>SUM('Estimación anualizada '!N15:U15)/$B$5</f>
        <v>539568.31772628822</v>
      </c>
      <c r="F16" s="217">
        <f t="shared" si="0"/>
        <v>0.18084486239955361</v>
      </c>
    </row>
    <row r="17" spans="1:6" s="203" customFormat="1" x14ac:dyDescent="0.2">
      <c r="A17" s="54" t="str">
        <f>'Estimación anualizada '!A16</f>
        <v xml:space="preserve">3.4. Fortalecimiento de la oferta de insumos y servicios asociados a la cadena. </v>
      </c>
      <c r="B17" s="54">
        <f>'Estimación anualizada '!V16/$B$5</f>
        <v>30338.487270195987</v>
      </c>
      <c r="C17" s="54">
        <f>SUM('Estimación anualizada '!B16:E16)/$B$5</f>
        <v>7231.2304364040001</v>
      </c>
      <c r="D17" s="54">
        <f>SUM('Estimación anualizada '!F16:M16)/$B$5</f>
        <v>15301.422472832</v>
      </c>
      <c r="E17" s="54">
        <f>SUM('Estimación anualizada '!N16:U16)/$B$5</f>
        <v>7805.8343609599997</v>
      </c>
      <c r="F17" s="217">
        <f t="shared" si="0"/>
        <v>2.6162489429885629E-3</v>
      </c>
    </row>
    <row r="18" spans="1:6" s="203" customFormat="1" x14ac:dyDescent="0.2">
      <c r="A18" s="54" t="str">
        <f>'Estimación anualizada '!A17</f>
        <v>3.5. Mejora del entorno productivo para las grandes inversiones en las regiones maiceras.</v>
      </c>
      <c r="B18" s="54">
        <f>'Estimación anualizada '!V17/$B$5</f>
        <v>10740.529210193999</v>
      </c>
      <c r="C18" s="54">
        <f>SUM('Estimación anualizada '!B17:E17)/$B$5</f>
        <v>2249.86120317</v>
      </c>
      <c r="D18" s="54">
        <f>SUM('Estimación anualizada '!F17:M17)/$B$5</f>
        <v>4324.5297030239999</v>
      </c>
      <c r="E18" s="54">
        <f>SUM('Estimación anualizada '!N17:U17)/$B$5</f>
        <v>4166.1383040000001</v>
      </c>
      <c r="F18" s="217">
        <f t="shared" si="0"/>
        <v>1.3963471975138955E-3</v>
      </c>
    </row>
    <row r="19" spans="1:6" s="203" customFormat="1" ht="15" x14ac:dyDescent="0.2">
      <c r="A19" s="166" t="str">
        <f>'Estimación anualizada '!A18</f>
        <v xml:space="preserve">4. Mejora de la gestión del agua y del suelo en el cultivo de maíz. </v>
      </c>
      <c r="B19" s="166">
        <f>'Estimación anualizada '!V18/$B$5</f>
        <v>104419.1618095</v>
      </c>
      <c r="C19" s="166">
        <f>SUM('Estimación anualizada '!B18:E18)/$B$5</f>
        <v>25826.990679499999</v>
      </c>
      <c r="D19" s="166">
        <f>SUM('Estimación anualizada '!F18:M18)/$B$5</f>
        <v>46615.436130000009</v>
      </c>
      <c r="E19" s="166">
        <f>SUM('Estimación anualizada '!N18:U18)/$B$5</f>
        <v>31976.735000000004</v>
      </c>
      <c r="F19" s="310">
        <f t="shared" si="0"/>
        <v>1.0717508888272975E-2</v>
      </c>
    </row>
    <row r="20" spans="1:6" s="203" customFormat="1" x14ac:dyDescent="0.2">
      <c r="A20" s="54" t="str">
        <f>'Estimación anualizada '!A19</f>
        <v>4.1. Contribución a la gestión del ordenamiento ambiental, fuera de la frontera agrícola.</v>
      </c>
      <c r="B20" s="54">
        <f>'Estimación anualizada '!V19/$B$5</f>
        <v>3089.5396350000001</v>
      </c>
      <c r="C20" s="54">
        <f>SUM('Estimación anualizada '!B19:E19)/$B$5</f>
        <v>2265.6623989999998</v>
      </c>
      <c r="D20" s="54">
        <f>SUM('Estimación anualizada '!F19:M19)/$B$5</f>
        <v>823.87723600000004</v>
      </c>
      <c r="E20" s="54">
        <f>SUM('Estimación anualizada '!N19:U19)/$B$5</f>
        <v>0</v>
      </c>
      <c r="F20" s="217">
        <f t="shared" si="0"/>
        <v>0</v>
      </c>
    </row>
    <row r="21" spans="1:6" s="203" customFormat="1" x14ac:dyDescent="0.2">
      <c r="A21" s="54" t="str">
        <f>'Estimación anualizada '!A20</f>
        <v>4.2. Promoción del manejo eficiente del suelo y del agua, en la producción de maíz.</v>
      </c>
      <c r="B21" s="54">
        <f>'Estimación anualizada '!V20/$B$5</f>
        <v>101329.62217450002</v>
      </c>
      <c r="C21" s="54">
        <f>SUM('Estimación anualizada '!B20:E20)/$B$5</f>
        <v>23561.328280500005</v>
      </c>
      <c r="D21" s="54">
        <f>SUM('Estimación anualizada '!F20:M20)/$B$5</f>
        <v>45791.558894000009</v>
      </c>
      <c r="E21" s="54">
        <f>SUM('Estimación anualizada '!N20:U20)/$B$5</f>
        <v>31976.735000000004</v>
      </c>
      <c r="F21" s="217">
        <f t="shared" si="0"/>
        <v>1.0717508888272975E-2</v>
      </c>
    </row>
    <row r="22" spans="1:6" s="203" customFormat="1" ht="22.5" customHeight="1" x14ac:dyDescent="0.2">
      <c r="A22" s="166" t="str">
        <f>'Estimación anualizada '!A21</f>
        <v xml:space="preserve">5. Fortalecimiento de la gestión ambiental en la cadena maicera.
</v>
      </c>
      <c r="B22" s="166">
        <f>'Estimación anualizada '!V21/$B$5</f>
        <v>21593.230348064</v>
      </c>
      <c r="C22" s="166">
        <f>SUM('Estimación anualizada '!B21:E21)/$B$5</f>
        <v>8097.4613805240015</v>
      </c>
      <c r="D22" s="166">
        <f>SUM('Estimación anualizada '!F21:M21)/$B$5</f>
        <v>5398.307587016001</v>
      </c>
      <c r="E22" s="166">
        <f>SUM('Estimación anualizada '!N21:U21)/$B$5</f>
        <v>8097.4613805240015</v>
      </c>
      <c r="F22" s="310">
        <f t="shared" si="0"/>
        <v>2.7139923546982869E-3</v>
      </c>
    </row>
    <row r="23" spans="1:6" s="203" customFormat="1" x14ac:dyDescent="0.2">
      <c r="A23" s="54" t="str">
        <f>'Estimación anualizada '!A22</f>
        <v>5.1. Mejora del desempeño ambiental de la cadena de maíz.</v>
      </c>
      <c r="B23" s="54">
        <f>'Estimación anualizada '!V22/$B$5</f>
        <v>21593.230348064</v>
      </c>
      <c r="C23" s="54">
        <f>SUM('Estimación anualizada '!B22:E22)/$B$5</f>
        <v>8097.4613805240015</v>
      </c>
      <c r="D23" s="54">
        <f>SUM('Estimación anualizada '!F22:M22)/$B$5</f>
        <v>5398.307587016001</v>
      </c>
      <c r="E23" s="54">
        <f>SUM('Estimación anualizada '!N22:U22)/$B$5</f>
        <v>8097.4613805240015</v>
      </c>
      <c r="F23" s="217">
        <f t="shared" si="0"/>
        <v>2.7139923546982869E-3</v>
      </c>
    </row>
    <row r="24" spans="1:6" s="203" customFormat="1" ht="30" x14ac:dyDescent="0.2">
      <c r="A24" s="166" t="str">
        <f>'Estimación anualizada '!A23</f>
        <v xml:space="preserve">6. Contribución al mejoramiento en las condiciones de vida de la población vinculada a la cadena de maíz. </v>
      </c>
      <c r="B24" s="166">
        <f>'Estimación anualizada '!V23/$B$5</f>
        <v>208820.46365339481</v>
      </c>
      <c r="C24" s="166">
        <f>SUM('Estimación anualizada '!B23:E23)/$B$5</f>
        <v>38916.425003113334</v>
      </c>
      <c r="D24" s="166">
        <f>SUM('Estimación anualizada '!F23:M23)/$B$5</f>
        <v>89626.33996732322</v>
      </c>
      <c r="E24" s="166">
        <f>SUM('Estimación anualizada '!N23:U23)/$B$5</f>
        <v>80277.698682958217</v>
      </c>
      <c r="F24" s="310">
        <f t="shared" si="0"/>
        <v>2.6906341412427013E-2</v>
      </c>
    </row>
    <row r="25" spans="1:6" s="203" customFormat="1" x14ac:dyDescent="0.2">
      <c r="A25" s="54" t="str">
        <f>'Estimación anualizada '!A24</f>
        <v>6.1  Promoción de la atención de las necesidades básicas de los actores vinculados a la cadena.</v>
      </c>
      <c r="B25" s="54">
        <f>'Estimación anualizada '!V24/$B$5</f>
        <v>64607.271652000003</v>
      </c>
      <c r="C25" s="54">
        <f>SUM('Estimación anualizada '!B24:E24)/$B$5</f>
        <v>10907.721188</v>
      </c>
      <c r="D25" s="54">
        <f>SUM('Estimación anualizada '!F24:M24)/$B$5</f>
        <v>26849.775232</v>
      </c>
      <c r="E25" s="54">
        <f>SUM('Estimación anualizada '!N24:U24)/$B$5</f>
        <v>26849.775232</v>
      </c>
      <c r="F25" s="217">
        <f t="shared" si="0"/>
        <v>8.9991271684583037E-3</v>
      </c>
    </row>
    <row r="26" spans="1:6" s="203" customFormat="1" x14ac:dyDescent="0.2">
      <c r="A26" s="54" t="str">
        <f>'Estimación anualizada '!A25</f>
        <v>6.2. Contribución al incremento del nivel educativo de los actores vinculados a la cadena.</v>
      </c>
      <c r="B26" s="54">
        <f>'Estimación anualizada '!V25/$B$5</f>
        <v>13629.695771999999</v>
      </c>
      <c r="C26" s="54">
        <f>SUM('Estimación anualizada '!B25:E25)/$B$5</f>
        <v>2301.1174679999999</v>
      </c>
      <c r="D26" s="54">
        <f>SUM('Estimación anualizada '!F25:M25)/$B$5</f>
        <v>5664.2891520000003</v>
      </c>
      <c r="E26" s="54">
        <f>SUM('Estimación anualizada '!N25:U25)/$B$5</f>
        <v>5664.2891520000003</v>
      </c>
      <c r="F26" s="217">
        <f t="shared" si="0"/>
        <v>1.8984761681362463E-3</v>
      </c>
    </row>
    <row r="27" spans="1:6" s="203" customFormat="1" x14ac:dyDescent="0.2">
      <c r="A27" s="54" t="str">
        <f>'Estimación anualizada '!A26</f>
        <v>6.3. Mejora en las capacidades técnicas de los agentes económicos de la cadena</v>
      </c>
      <c r="B27" s="54">
        <f>'Estimación anualizada '!V26/$B$5</f>
        <v>81822.881050094787</v>
      </c>
      <c r="C27" s="54">
        <f>SUM('Estimación anualizada '!B26:E26)/$B$5</f>
        <v>16343.390507813334</v>
      </c>
      <c r="D27" s="54">
        <f>SUM('Estimación anualizada '!F26:M26)/$B$5</f>
        <v>36180.688560123228</v>
      </c>
      <c r="E27" s="54">
        <f>SUM('Estimación anualizada '!N26:U26)/$B$5</f>
        <v>29298.801982158227</v>
      </c>
      <c r="F27" s="217">
        <f t="shared" si="0"/>
        <v>9.8199572489039502E-3</v>
      </c>
    </row>
    <row r="28" spans="1:6" s="203" customFormat="1" x14ac:dyDescent="0.2">
      <c r="A28" s="54" t="str">
        <f>'Estimación anualizada '!A27</f>
        <v>6.4. Promoción de la generación del empleo formal y la mejora de las condiciones laborales a lo largo de la cadena.</v>
      </c>
      <c r="B28" s="54">
        <f>'Estimación anualizada '!V27/$B$5</f>
        <v>45018.273391800009</v>
      </c>
      <c r="C28" s="54">
        <f>SUM('Estimación anualizada '!B27:E27)/$B$5</f>
        <v>8016.952795799999</v>
      </c>
      <c r="D28" s="54">
        <f>SUM('Estimación anualizada '!F27:M27)/$B$5</f>
        <v>19734.0376512</v>
      </c>
      <c r="E28" s="54">
        <f>SUM('Estimación anualizada '!N27:U27)/$B$5</f>
        <v>17267.282944799997</v>
      </c>
      <c r="F28" s="217">
        <f t="shared" si="0"/>
        <v>5.7874031991452003E-3</v>
      </c>
    </row>
    <row r="29" spans="1:6" s="203" customFormat="1" x14ac:dyDescent="0.2">
      <c r="A29" s="54" t="str">
        <f>'Estimación anualizada '!A28</f>
        <v>6.5. Contribución a la mejora de condiciones de conectividad vial y de servicios públicos, en las regiones maiceras.</v>
      </c>
      <c r="B29" s="54">
        <f>'Estimación anualizada '!V28/$B$5</f>
        <v>3742.3417875</v>
      </c>
      <c r="C29" s="54">
        <f>SUM('Estimación anualizada '!B28:E28)/$B$5</f>
        <v>1347.2430435000001</v>
      </c>
      <c r="D29" s="54">
        <f>SUM('Estimación anualizada '!F28:M28)/$B$5</f>
        <v>1197.5493719999999</v>
      </c>
      <c r="E29" s="54">
        <f>SUM('Estimación anualizada '!N28:U28)/$B$5</f>
        <v>1197.5493719999999</v>
      </c>
      <c r="F29" s="217">
        <f t="shared" si="0"/>
        <v>4.0137762778331553E-4</v>
      </c>
    </row>
    <row r="30" spans="1:6" s="203" customFormat="1" ht="15" x14ac:dyDescent="0.2">
      <c r="A30" s="166" t="str">
        <f>'Estimación anualizada '!A29</f>
        <v>7. Contribución al ordenamiento productivo y social de la propiedad.</v>
      </c>
      <c r="B30" s="166">
        <f>'Estimación anualizada '!V29/$B$5</f>
        <v>52239.074348499998</v>
      </c>
      <c r="C30" s="166">
        <f>SUM('Estimación anualizada '!B29:E29)/$B$5</f>
        <v>9284.7335165000004</v>
      </c>
      <c r="D30" s="166">
        <f>SUM('Estimación anualizada '!F29:M29)/$B$5</f>
        <v>21569.007632000001</v>
      </c>
      <c r="E30" s="166">
        <f>SUM('Estimación anualizada '!N29:U29)/$B$5</f>
        <v>21385.333200000001</v>
      </c>
      <c r="F30" s="310">
        <f t="shared" si="0"/>
        <v>7.1676329259281512E-3</v>
      </c>
    </row>
    <row r="31" spans="1:6" s="203" customFormat="1" x14ac:dyDescent="0.2">
      <c r="A31" s="54" t="str">
        <f>'Estimación anualizada '!A30</f>
        <v>7.1. Articulación con las políticas de ordenamiento productivo y social de la propiedad rural para el cultivo de maíz.</v>
      </c>
      <c r="B31" s="54">
        <f>'Estimación anualizada '!V30/$B$5</f>
        <v>14243.132557499999</v>
      </c>
      <c r="C31" s="54">
        <f>SUM('Estimación anualizada '!B30:E30)/$B$5</f>
        <v>2219.7089700000001</v>
      </c>
      <c r="D31" s="54">
        <f>SUM('Estimación anualizada '!F30:M30)/$B$5</f>
        <v>5919.2239200000004</v>
      </c>
      <c r="E31" s="54">
        <f>SUM('Estimación anualizada '!N30:U30)/$B$5</f>
        <v>5919.2239200000004</v>
      </c>
      <c r="F31" s="217">
        <f t="shared" si="0"/>
        <v>1.9839215909403509E-3</v>
      </c>
    </row>
    <row r="32" spans="1:6" s="203" customFormat="1" x14ac:dyDescent="0.2">
      <c r="A32" s="54" t="str">
        <f>'Estimación anualizada '!A31</f>
        <v xml:space="preserve">7.2  Fortalecimiento en el acceso y la seguridad jurídica de los predios e inversiones para el cultivo de maíz. </v>
      </c>
      <c r="B32" s="54">
        <f>'Estimación anualizada '!V31/$B$5</f>
        <v>37995.941790999997</v>
      </c>
      <c r="C32" s="54">
        <f>SUM('Estimación anualizada '!B31:E31)/$B$5</f>
        <v>6880.0487990000001</v>
      </c>
      <c r="D32" s="54">
        <f>SUM('Estimación anualizada '!F31:M31)/$B$5</f>
        <v>15649.783712</v>
      </c>
      <c r="E32" s="54">
        <f>SUM('Estimación anualizada '!N31:U31)/$B$5</f>
        <v>15466.109280000001</v>
      </c>
      <c r="F32" s="217">
        <f t="shared" si="0"/>
        <v>5.1837113349878011E-3</v>
      </c>
    </row>
    <row r="33" spans="1:6" s="203" customFormat="1" ht="15" x14ac:dyDescent="0.2">
      <c r="A33" s="166" t="str">
        <f>'Estimación anualizada '!A32</f>
        <v>8. Fortalecimiento del desarrollo tecnológico y la innovación en la cadena de maíz.</v>
      </c>
      <c r="B33" s="166">
        <f>'Estimación anualizada '!V32/$B$5</f>
        <v>27234.2557845095</v>
      </c>
      <c r="C33" s="166">
        <f>SUM('Estimación anualizada '!B32:E32)/$B$5</f>
        <v>12760.352347006999</v>
      </c>
      <c r="D33" s="166">
        <f>SUM('Estimación anualizada '!F32:M32)/$B$5</f>
        <v>6901.2005435025003</v>
      </c>
      <c r="E33" s="166">
        <f>SUM('Estimación anualizada '!N32:U32)/$B$5</f>
        <v>7572.702894</v>
      </c>
      <c r="F33" s="310">
        <f t="shared" si="0"/>
        <v>2.5381112416478879E-3</v>
      </c>
    </row>
    <row r="34" spans="1:6" s="203" customFormat="1" x14ac:dyDescent="0.2">
      <c r="A34" s="54" t="str">
        <f>'Estimación anualizada '!A33</f>
        <v>8.1. Fortalecimiento de los procesos I+D+i para la cadena de maíz y sus derivados.</v>
      </c>
      <c r="B34" s="54">
        <f>'Estimación anualizada '!V33/$B$5</f>
        <v>7040.3814005094991</v>
      </c>
      <c r="C34" s="54">
        <f>SUM('Estimación anualizada '!B33:E33)/$B$5</f>
        <v>5187.6494530070004</v>
      </c>
      <c r="D34" s="54">
        <f>SUM('Estimación anualizada '!F33:M33)/$B$5</f>
        <v>1852.7319475025001</v>
      </c>
      <c r="E34" s="54">
        <f>SUM('Estimación anualizada '!N33:U33)/$B$5</f>
        <v>0</v>
      </c>
      <c r="F34" s="217">
        <f t="shared" si="0"/>
        <v>0</v>
      </c>
    </row>
    <row r="35" spans="1:6" s="203" customFormat="1" x14ac:dyDescent="0.2">
      <c r="A35" s="54" t="str">
        <f>'Estimación anualizada '!A34</f>
        <v>8.2. Fortalecimiento del talento humano en I+D+i, y en extensionismo agrícola e industrial.</v>
      </c>
      <c r="B35" s="54">
        <f>'Estimación anualizada '!V34/$B$5</f>
        <v>20193.874383999999</v>
      </c>
      <c r="C35" s="54">
        <f>SUM('Estimación anualizada '!B34:E34)/$B$5</f>
        <v>7572.702894</v>
      </c>
      <c r="D35" s="54">
        <f>SUM('Estimación anualizada '!F34:M34)/$B$5</f>
        <v>5048.4685959999997</v>
      </c>
      <c r="E35" s="54">
        <f>SUM('Estimación anualizada '!N34:U34)/$B$5</f>
        <v>7572.702894</v>
      </c>
      <c r="F35" s="217">
        <f t="shared" si="0"/>
        <v>2.5381112416478879E-3</v>
      </c>
    </row>
    <row r="36" spans="1:6" s="203" customFormat="1" ht="15" x14ac:dyDescent="0.2">
      <c r="A36" s="166" t="str">
        <f>'Estimación anualizada '!A35</f>
        <v>9. Fortalecimiento de la gestión institucional de la cadena de maíz</v>
      </c>
      <c r="B36" s="166">
        <f>'Estimación anualizada '!V35/$B$5</f>
        <v>11686.193987750001</v>
      </c>
      <c r="C36" s="166">
        <f>SUM('Estimación anualizada '!B35:E35)/$B$5</f>
        <v>6061.4876737499999</v>
      </c>
      <c r="D36" s="166">
        <f>SUM('Estimación anualizada '!F35:M35)/$B$5</f>
        <v>3094.6724654999998</v>
      </c>
      <c r="E36" s="166">
        <f>SUM('Estimación anualizada '!N35:U35)/$B$5</f>
        <v>2530.0338485000002</v>
      </c>
      <c r="F36" s="310">
        <f t="shared" si="0"/>
        <v>8.4798089169923791E-4</v>
      </c>
    </row>
    <row r="37" spans="1:6" s="203" customFormat="1" x14ac:dyDescent="0.2">
      <c r="A37" s="54" t="str">
        <f>'Estimación anualizada '!A36</f>
        <v>9.1. Fortalecimiento del Sistema de Inspección, Vigilancia y Control para la cadena de maíz.</v>
      </c>
      <c r="B37" s="54">
        <f>'Estimación anualizada '!V36/$B$5</f>
        <v>2057.7055274999998</v>
      </c>
      <c r="C37" s="54">
        <f>SUM('Estimación anualizada '!B36:E36)/$B$5</f>
        <v>2057.7055274999998</v>
      </c>
      <c r="D37" s="54">
        <f>SUM('Estimación anualizada '!F36:M36)/$B$5</f>
        <v>0</v>
      </c>
      <c r="E37" s="54">
        <f>SUM('Estimación anualizada '!N36:U36)/$B$5</f>
        <v>0</v>
      </c>
      <c r="F37" s="217">
        <f t="shared" si="0"/>
        <v>0</v>
      </c>
    </row>
    <row r="38" spans="1:6" s="203" customFormat="1" x14ac:dyDescent="0.2">
      <c r="A38" s="54" t="str">
        <f>'Estimación anualizada '!A37</f>
        <v>9.2. Diseño y mejora de los instrumentos de financiamiento, comercialización, gestión de riesgos y empresarización para la cadena de maíz.</v>
      </c>
      <c r="B38" s="54">
        <f>'Estimación anualizada '!V37/$B$5</f>
        <v>1566.1648700000001</v>
      </c>
      <c r="C38" s="54">
        <f>SUM('Estimación anualizada '!B37:E37)/$B$5</f>
        <v>247.28918999999999</v>
      </c>
      <c r="D38" s="54">
        <f>SUM('Estimación anualizada '!F37:M37)/$B$5</f>
        <v>659.43784000000005</v>
      </c>
      <c r="E38" s="54">
        <f>SUM('Estimación anualizada '!N37:U37)/$B$5</f>
        <v>659.43784000000005</v>
      </c>
      <c r="F38" s="217">
        <f t="shared" si="0"/>
        <v>2.2102103017908277E-4</v>
      </c>
    </row>
    <row r="39" spans="1:6" s="203" customFormat="1" x14ac:dyDescent="0.2">
      <c r="A39" s="54" t="str">
        <f>'Estimación anualizada '!A38</f>
        <v>9.3. Fortalecimiento de mecanismos institucionales para el impulso a las inversiones en producción de maíz a mediana y gran escala.</v>
      </c>
      <c r="B39" s="54">
        <f>'Estimación anualizada '!V38/$B$5</f>
        <v>3917.8721744999998</v>
      </c>
      <c r="C39" s="54">
        <f>SUM('Estimación anualizada '!B38:E38)/$B$5</f>
        <v>1305.9573915000001</v>
      </c>
      <c r="D39" s="54">
        <f>SUM('Estimación anualizada '!F38:M38)/$B$5</f>
        <v>1305.9573915000001</v>
      </c>
      <c r="E39" s="54">
        <f>SUM('Estimación anualizada '!N38:U38)/$B$5</f>
        <v>1305.9573915000001</v>
      </c>
      <c r="F39" s="217">
        <f t="shared" si="0"/>
        <v>4.3771229148651476E-4</v>
      </c>
    </row>
    <row r="40" spans="1:6" s="203" customFormat="1" x14ac:dyDescent="0.2">
      <c r="A40" s="54" t="str">
        <f>'Estimación anualizada '!A39</f>
        <v>9.4. Diseño y operación del Sistema nacional de Información para la cadena de maíz.</v>
      </c>
      <c r="B40" s="54">
        <f>'Estimación anualizada '!V39/$B$5</f>
        <v>2117.3948137500001</v>
      </c>
      <c r="C40" s="54">
        <f>SUM('Estimación anualizada '!B39:E39)/$B$5</f>
        <v>423.47896274999999</v>
      </c>
      <c r="D40" s="54">
        <f>SUM('Estimación anualizada '!F39:M39)/$B$5</f>
        <v>1129.2772339999999</v>
      </c>
      <c r="E40" s="54">
        <f>SUM('Estimación anualizada '!N39:U39)/$B$5</f>
        <v>564.63861699999995</v>
      </c>
      <c r="F40" s="217">
        <f t="shared" si="0"/>
        <v>1.8924757003364035E-4</v>
      </c>
    </row>
    <row r="41" spans="1:6" s="203" customFormat="1" x14ac:dyDescent="0.2">
      <c r="A41" s="54" t="str">
        <f>'Estimación anualizada '!A40</f>
        <v>9.5. Constitución y fortalecimiento de la Organización de Cadena de maíz.</v>
      </c>
      <c r="B41" s="54">
        <f>'Estimación anualizada '!V40/$B$5</f>
        <v>960.94347300000004</v>
      </c>
      <c r="C41" s="54">
        <f>SUM('Estimación anualizada '!B40:E40)/$B$5</f>
        <v>960.94347300000004</v>
      </c>
      <c r="D41" s="54">
        <f>SUM('Estimación anualizada '!F40:M40)/$B$5</f>
        <v>0</v>
      </c>
      <c r="E41" s="54">
        <f>SUM('Estimación anualizada '!N40:U40)/$B$5</f>
        <v>0</v>
      </c>
      <c r="F41" s="217">
        <f t="shared" si="0"/>
        <v>0</v>
      </c>
    </row>
    <row r="42" spans="1:6" s="203" customFormat="1" x14ac:dyDescent="0.2">
      <c r="A42" s="54" t="str">
        <f>'Estimación anualizada '!A41</f>
        <v>9.6. Adopción, promoción y monitoreo de la política pública para la cadena de maíz.</v>
      </c>
      <c r="B42" s="54">
        <f>'Estimación anualizada '!V41/$B$5</f>
        <v>1066.1131290000001</v>
      </c>
      <c r="C42" s="54">
        <f>SUM('Estimación anualizada '!B41:E41)/$B$5</f>
        <v>1066.1131290000001</v>
      </c>
      <c r="D42" s="54">
        <f>SUM('Estimación anualizada '!F41:M41)/$B$5</f>
        <v>0</v>
      </c>
      <c r="E42" s="54">
        <f>SUM('Estimación anualizada '!N41:U41)/$B$5</f>
        <v>0</v>
      </c>
      <c r="F42" s="217">
        <f t="shared" si="0"/>
        <v>0</v>
      </c>
    </row>
    <row r="43" spans="1:6" s="208" customFormat="1" ht="15.75" x14ac:dyDescent="0.2">
      <c r="A43" s="207" t="s">
        <v>286</v>
      </c>
      <c r="B43" s="170">
        <f>'Estimación anualizada '!V42/$B$5</f>
        <v>2983597.712243442</v>
      </c>
      <c r="C43" s="170">
        <f>SUM('Estimación anualizada '!B42:E42)/$B$5</f>
        <v>605418.88845508348</v>
      </c>
      <c r="D43" s="170">
        <f>SUM('Estimación anualizada '!F42:M42)/$B$5</f>
        <v>1387012.103463528</v>
      </c>
      <c r="E43" s="170">
        <f>SUM('Estimación anualizada '!N42:U42)/$B$5</f>
        <v>991166.7203248305</v>
      </c>
      <c r="F43" s="311">
        <f t="shared" si="0"/>
        <v>0.33220521528673091</v>
      </c>
    </row>
    <row r="44" spans="1:6" s="167" customFormat="1" ht="15.75" x14ac:dyDescent="0.2">
      <c r="C44" s="311">
        <f>C43/B43</f>
        <v>0.20291572351416431</v>
      </c>
      <c r="D44" s="311">
        <f>D43/B43</f>
        <v>0.46487906119910477</v>
      </c>
      <c r="E44" s="311">
        <f>E43/B43</f>
        <v>0.33220521528673091</v>
      </c>
      <c r="F44" s="373">
        <f t="shared" si="0"/>
        <v>1.1134383630993519E-7</v>
      </c>
    </row>
  </sheetData>
  <sheetProtection algorithmName="SHA-512" hashValue="UVCOjzqBr44sr0wfRONeNNGV8vFBTzhKTDAJXq+S771hbBkv91PZgjLotCEu0ssU/5TQ/LSqL8l6P5iH0iqwvg==" saltValue="9xyiRwhf0i54cpjh1xofnQ==" spinCount="100000" sheet="1" objects="1" scenarios="1"/>
  <mergeCells count="2">
    <mergeCell ref="A1:E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zoomScale="70" zoomScaleNormal="70" workbookViewId="0">
      <selection activeCell="A48" sqref="A48"/>
    </sheetView>
  </sheetViews>
  <sheetFormatPr baseColWidth="10" defaultColWidth="10.85546875" defaultRowHeight="14.25" x14ac:dyDescent="0.2"/>
  <cols>
    <col min="1" max="1" width="84.140625" style="359" customWidth="1"/>
    <col min="2" max="2" width="28.42578125" style="53" customWidth="1"/>
    <col min="3" max="3" width="10.42578125" style="53" customWidth="1"/>
    <col min="4" max="4" width="10.7109375" style="53" customWidth="1"/>
    <col min="5" max="5" width="16.7109375" style="53" customWidth="1"/>
    <col min="6" max="6" width="18.42578125" style="53" customWidth="1"/>
    <col min="7" max="7" width="16.85546875" style="53" customWidth="1"/>
    <col min="8" max="8" width="15.7109375" style="53" customWidth="1"/>
    <col min="9" max="9" width="25.42578125" style="53" customWidth="1"/>
    <col min="10" max="10" width="21.28515625" style="53" bestFit="1" customWidth="1"/>
    <col min="11" max="11" width="16.42578125" style="53" customWidth="1"/>
    <col min="12" max="12" width="17.85546875" style="53" customWidth="1"/>
    <col min="13" max="13" width="19.42578125" style="53" customWidth="1"/>
    <col min="14" max="14" width="15.7109375" style="53" customWidth="1"/>
    <col min="15" max="15" width="16.7109375" style="53" customWidth="1"/>
    <col min="16" max="16" width="23.28515625" style="53" customWidth="1"/>
    <col min="17" max="17" width="23.140625" style="53" bestFit="1" customWidth="1"/>
    <col min="18" max="16384" width="10.85546875" style="53"/>
  </cols>
  <sheetData>
    <row r="1" spans="1:17" ht="18.75" customHeight="1" x14ac:dyDescent="0.25">
      <c r="A1" s="715" t="s">
        <v>403</v>
      </c>
      <c r="B1" s="715"/>
      <c r="C1" s="715"/>
      <c r="D1" s="715"/>
      <c r="E1" s="715"/>
      <c r="F1" s="716"/>
      <c r="G1" s="716"/>
      <c r="H1" s="716"/>
      <c r="I1" s="716"/>
      <c r="J1" s="716"/>
      <c r="K1" s="716"/>
      <c r="L1" s="716"/>
      <c r="M1" s="716"/>
      <c r="N1" s="716"/>
      <c r="O1" s="716"/>
      <c r="P1" s="716"/>
    </row>
    <row r="2" spans="1:17" ht="18" customHeight="1" x14ac:dyDescent="0.25">
      <c r="A2" s="715" t="s">
        <v>404</v>
      </c>
      <c r="B2" s="715"/>
      <c r="C2" s="715"/>
      <c r="D2" s="715"/>
      <c r="E2" s="715"/>
      <c r="F2" s="716"/>
      <c r="G2" s="716"/>
      <c r="H2" s="716"/>
      <c r="I2" s="716"/>
      <c r="J2" s="716"/>
      <c r="K2" s="716"/>
      <c r="L2" s="716"/>
      <c r="M2" s="716"/>
      <c r="N2" s="716"/>
      <c r="O2" s="716"/>
      <c r="P2" s="716"/>
    </row>
    <row r="3" spans="1:17" ht="18.75" x14ac:dyDescent="0.3">
      <c r="A3" s="358"/>
      <c r="B3" s="222"/>
      <c r="C3" s="222"/>
      <c r="D3" s="222"/>
      <c r="E3" s="222"/>
    </row>
    <row r="5" spans="1:17" ht="69" customHeight="1" x14ac:dyDescent="0.2">
      <c r="A5" s="628" t="s">
        <v>285</v>
      </c>
      <c r="B5" s="344" t="s">
        <v>328</v>
      </c>
      <c r="C5" s="360" t="s">
        <v>389</v>
      </c>
      <c r="D5" s="362" t="s">
        <v>390</v>
      </c>
      <c r="E5" s="344" t="s">
        <v>391</v>
      </c>
      <c r="F5" s="360" t="s">
        <v>392</v>
      </c>
      <c r="G5" s="362" t="s">
        <v>393</v>
      </c>
      <c r="H5" s="344" t="s">
        <v>394</v>
      </c>
      <c r="I5" s="360" t="s">
        <v>395</v>
      </c>
      <c r="J5" s="360" t="s">
        <v>396</v>
      </c>
      <c r="K5" s="360" t="s">
        <v>397</v>
      </c>
      <c r="L5" s="360" t="s">
        <v>398</v>
      </c>
      <c r="M5" s="371" t="s">
        <v>399</v>
      </c>
      <c r="N5" s="371" t="s">
        <v>400</v>
      </c>
      <c r="O5" s="371" t="s">
        <v>401</v>
      </c>
      <c r="P5" s="371" t="s">
        <v>402</v>
      </c>
    </row>
    <row r="6" spans="1:17" s="346" customFormat="1" ht="15" x14ac:dyDescent="0.25">
      <c r="A6" s="629" t="str">
        <f>'Estimación por período'!A7</f>
        <v>1. Incremento del consumo de maíz nacional.</v>
      </c>
      <c r="B6" s="349">
        <f>'Estimación por período'!B7</f>
        <v>133333.63232303745</v>
      </c>
      <c r="C6" s="348">
        <f>F6/B6</f>
        <v>0.76917691209948835</v>
      </c>
      <c r="D6" s="348">
        <f>G6/B6</f>
        <v>0.23082308790051181</v>
      </c>
      <c r="E6" s="348">
        <f>H6/B6</f>
        <v>0</v>
      </c>
      <c r="F6" s="349">
        <f>F7+F8</f>
        <v>102557.15158924248</v>
      </c>
      <c r="G6" s="349">
        <f t="shared" ref="G6:H6" si="0">G7+G8</f>
        <v>30776.480733794997</v>
      </c>
      <c r="H6" s="349">
        <f t="shared" si="0"/>
        <v>0</v>
      </c>
      <c r="I6" s="348">
        <f>M6/$F$6</f>
        <v>0.4797815401802194</v>
      </c>
      <c r="J6" s="348">
        <f t="shared" ref="J6:L6" si="1">N6/$F$6</f>
        <v>0</v>
      </c>
      <c r="K6" s="348">
        <f t="shared" si="1"/>
        <v>0.3202184598197807</v>
      </c>
      <c r="L6" s="348">
        <f t="shared" si="1"/>
        <v>0.20000000000000004</v>
      </c>
      <c r="M6" s="349">
        <f>M7+M8</f>
        <v>49205.028145982993</v>
      </c>
      <c r="N6" s="349">
        <f t="shared" ref="N6:P6" si="2">N7+N8</f>
        <v>0</v>
      </c>
      <c r="O6" s="349">
        <f t="shared" si="2"/>
        <v>32840.693125411002</v>
      </c>
      <c r="P6" s="349">
        <f t="shared" si="2"/>
        <v>20511.430317848499</v>
      </c>
      <c r="Q6" s="361"/>
    </row>
    <row r="7" spans="1:17" s="345" customFormat="1" ht="15" x14ac:dyDescent="0.25">
      <c r="A7" s="629" t="str">
        <f>'Estimación por período'!A8</f>
        <v>1.1. Aumento de la participación del maíz nacional en el mercado de consumo animal.</v>
      </c>
      <c r="B7" s="350">
        <f>'Estimación por período'!B8</f>
        <v>82195.085383750004</v>
      </c>
      <c r="C7" s="351">
        <v>0.75</v>
      </c>
      <c r="D7" s="351">
        <v>0.25</v>
      </c>
      <c r="E7" s="351"/>
      <c r="F7" s="350">
        <f>B7*C7</f>
        <v>61646.314037812503</v>
      </c>
      <c r="G7" s="350">
        <f>B7*D7</f>
        <v>20548.771345937501</v>
      </c>
      <c r="H7" s="350">
        <f>B7*E7</f>
        <v>0</v>
      </c>
      <c r="I7" s="352">
        <v>0.4</v>
      </c>
      <c r="J7" s="352"/>
      <c r="K7" s="352">
        <v>0.4</v>
      </c>
      <c r="L7" s="352">
        <v>0.2</v>
      </c>
      <c r="M7" s="350">
        <f>$F7*I7</f>
        <v>24658.525615125003</v>
      </c>
      <c r="N7" s="350">
        <f>F7*J7</f>
        <v>0</v>
      </c>
      <c r="O7" s="350">
        <f>F7*K7</f>
        <v>24658.525615125003</v>
      </c>
      <c r="P7" s="350">
        <f>F7*L7</f>
        <v>12329.262807562502</v>
      </c>
      <c r="Q7" s="361"/>
    </row>
    <row r="8" spans="1:17" s="345" customFormat="1" ht="15" x14ac:dyDescent="0.25">
      <c r="A8" s="630" t="str">
        <f>'Estimación por período'!A9</f>
        <v>1.2. Posicionamiento de la oferta del maíz nacional y sus derivados, para  alimentación humana y otros usos.</v>
      </c>
      <c r="B8" s="350">
        <f>'Estimación por período'!B9</f>
        <v>51138.54693928748</v>
      </c>
      <c r="C8" s="351">
        <v>0.8</v>
      </c>
      <c r="D8" s="351">
        <v>0.2</v>
      </c>
      <c r="E8" s="351"/>
      <c r="F8" s="350">
        <f>B8*C8</f>
        <v>40910.837551429984</v>
      </c>
      <c r="G8" s="350">
        <f>B8*D8</f>
        <v>10227.709387857496</v>
      </c>
      <c r="H8" s="350">
        <f>B8*E8</f>
        <v>0</v>
      </c>
      <c r="I8" s="352">
        <v>0.6</v>
      </c>
      <c r="J8" s="353"/>
      <c r="K8" s="352">
        <v>0.2</v>
      </c>
      <c r="L8" s="352">
        <v>0.2</v>
      </c>
      <c r="M8" s="350">
        <f t="shared" ref="M8:M41" si="3">$F8*I8</f>
        <v>24546.50253085799</v>
      </c>
      <c r="N8" s="350">
        <f t="shared" ref="N8:N41" si="4">F8*J8</f>
        <v>0</v>
      </c>
      <c r="O8" s="350">
        <f t="shared" ref="O8:O41" si="5">F8*K8</f>
        <v>8182.1675102859972</v>
      </c>
      <c r="P8" s="350">
        <f t="shared" ref="P8:P41" si="6">F8*L8</f>
        <v>8182.1675102859972</v>
      </c>
      <c r="Q8" s="361"/>
    </row>
    <row r="9" spans="1:17" s="346" customFormat="1" ht="15" x14ac:dyDescent="0.25">
      <c r="A9" s="629" t="str">
        <f>'Estimación por período'!A10</f>
        <v>2. Mejoramiento productivo del cultivo de maíz.</v>
      </c>
      <c r="B9" s="354">
        <f>'Estimación por período'!B10</f>
        <v>1023770.878824</v>
      </c>
      <c r="C9" s="348">
        <f>F9/B9</f>
        <v>0.9488988163748171</v>
      </c>
      <c r="D9" s="348">
        <f>G9/B9</f>
        <v>3.1248008108540511E-2</v>
      </c>
      <c r="E9" s="348">
        <f>H9/B9</f>
        <v>1.9853175516642292E-2</v>
      </c>
      <c r="F9" s="354">
        <f>F10+F11</f>
        <v>971454.97515509988</v>
      </c>
      <c r="G9" s="354">
        <f t="shared" ref="G9:H9" si="7">G10+G11</f>
        <v>31990.800722779997</v>
      </c>
      <c r="H9" s="354">
        <f t="shared" si="7"/>
        <v>20325.102946120001</v>
      </c>
      <c r="I9" s="348">
        <f>M9/F9</f>
        <v>0.89752429690796942</v>
      </c>
      <c r="J9" s="348">
        <f>N9/F9</f>
        <v>0</v>
      </c>
      <c r="K9" s="348">
        <f>O9/F9</f>
        <v>0.10092838865951149</v>
      </c>
      <c r="L9" s="348">
        <f>P9/F9</f>
        <v>1.5473144325191311E-3</v>
      </c>
      <c r="M9" s="355">
        <f>M10+M11</f>
        <v>871904.44355382991</v>
      </c>
      <c r="N9" s="355">
        <f t="shared" ref="N9:P9" si="8">N10+N11</f>
        <v>0</v>
      </c>
      <c r="O9" s="355">
        <f t="shared" si="8"/>
        <v>98047.38529767</v>
      </c>
      <c r="P9" s="355">
        <f t="shared" si="8"/>
        <v>1503.1463036</v>
      </c>
      <c r="Q9" s="361"/>
    </row>
    <row r="10" spans="1:17" s="345" customFormat="1" ht="15" x14ac:dyDescent="0.25">
      <c r="A10" s="629" t="str">
        <f>'Estimación por período'!A11</f>
        <v>2.1. Implementación efectiva de la asistencia técnica en sistemas tecnificados de maíz.</v>
      </c>
      <c r="B10" s="350">
        <f>'Estimación por período'!B11</f>
        <v>1016255.147306</v>
      </c>
      <c r="C10" s="351">
        <v>0.95</v>
      </c>
      <c r="D10" s="351">
        <v>0.03</v>
      </c>
      <c r="E10" s="351">
        <v>0.02</v>
      </c>
      <c r="F10" s="350">
        <f>B10*C10</f>
        <v>965442.38994069991</v>
      </c>
      <c r="G10" s="350">
        <f>B10*D10</f>
        <v>30487.654419179999</v>
      </c>
      <c r="H10" s="350">
        <f>B10*E10</f>
        <v>20325.102946120001</v>
      </c>
      <c r="I10" s="352">
        <v>0.9</v>
      </c>
      <c r="J10" s="353"/>
      <c r="K10" s="352">
        <v>0.1</v>
      </c>
      <c r="L10" s="353"/>
      <c r="M10" s="350">
        <f t="shared" si="3"/>
        <v>868898.15094662993</v>
      </c>
      <c r="N10" s="350">
        <f t="shared" si="4"/>
        <v>0</v>
      </c>
      <c r="O10" s="350">
        <f t="shared" si="5"/>
        <v>96544.238994069994</v>
      </c>
      <c r="P10" s="350">
        <f t="shared" si="6"/>
        <v>0</v>
      </c>
      <c r="Q10" s="361"/>
    </row>
    <row r="11" spans="1:17" s="345" customFormat="1" ht="15" x14ac:dyDescent="0.25">
      <c r="A11" s="630" t="str">
        <f>'Estimación por período'!A12</f>
        <v xml:space="preserve">2.2. Impulso a la producción de maíz a mediana y gran escala.  </v>
      </c>
      <c r="B11" s="350">
        <f>'Estimación por período'!B12</f>
        <v>7515.7315179999996</v>
      </c>
      <c r="C11" s="351">
        <v>0.8</v>
      </c>
      <c r="D11" s="351">
        <v>0.2</v>
      </c>
      <c r="E11" s="351"/>
      <c r="F11" s="350">
        <f>B11*C11</f>
        <v>6012.5852144</v>
      </c>
      <c r="G11" s="350">
        <f>B11*D11</f>
        <v>1503.1463036</v>
      </c>
      <c r="H11" s="350">
        <f t="shared" ref="H11:H41" si="9">B11*E11</f>
        <v>0</v>
      </c>
      <c r="I11" s="352">
        <v>0.5</v>
      </c>
      <c r="J11" s="353"/>
      <c r="K11" s="352">
        <v>0.25</v>
      </c>
      <c r="L11" s="352">
        <v>0.25</v>
      </c>
      <c r="M11" s="350">
        <f t="shared" si="3"/>
        <v>3006.2926072</v>
      </c>
      <c r="N11" s="350">
        <f t="shared" si="4"/>
        <v>0</v>
      </c>
      <c r="O11" s="350">
        <f t="shared" si="5"/>
        <v>1503.1463036</v>
      </c>
      <c r="P11" s="350">
        <f t="shared" si="6"/>
        <v>1503.1463036</v>
      </c>
      <c r="Q11" s="361"/>
    </row>
    <row r="12" spans="1:17" s="346" customFormat="1" ht="15" x14ac:dyDescent="0.25">
      <c r="A12" s="629" t="str">
        <f>'Estimación por período'!A13</f>
        <v xml:space="preserve">3. Generación y consolidación de encadenamientos regionales para la cadena de maíz. </v>
      </c>
      <c r="B12" s="354">
        <f>'Estimación por período'!B13</f>
        <v>1400500.821164686</v>
      </c>
      <c r="C12" s="348">
        <f>F12/B12</f>
        <v>0.98155872305971414</v>
      </c>
      <c r="D12" s="348">
        <f>G12/B12</f>
        <v>1.7515316258291457E-2</v>
      </c>
      <c r="E12" s="348">
        <f>H12/B12</f>
        <v>9.2596068199485E-4</v>
      </c>
      <c r="F12" s="354">
        <f>F13+F14+F15+F16+F17</f>
        <v>1374673.7976664903</v>
      </c>
      <c r="G12" s="354">
        <f t="shared" ref="G12:H12" si="10">G13+G14+G15+G16+G17</f>
        <v>24530.214802696362</v>
      </c>
      <c r="H12" s="354">
        <f t="shared" si="10"/>
        <v>1296.8086955000001</v>
      </c>
      <c r="I12" s="348">
        <f>M12/F12</f>
        <v>0.93801755463798275</v>
      </c>
      <c r="J12" s="348">
        <f>N12/F12</f>
        <v>0</v>
      </c>
      <c r="K12" s="348">
        <f>O12/F12</f>
        <v>6.1180591574561273E-2</v>
      </c>
      <c r="L12" s="348">
        <f>P12/F12</f>
        <v>8.0185378745571028E-4</v>
      </c>
      <c r="M12" s="355">
        <f>M13+M14+M15+M16+M17</f>
        <v>1289468.1541120303</v>
      </c>
      <c r="N12" s="355">
        <f t="shared" ref="N12:P12" si="11">N13+N14+N15+N16+N17</f>
        <v>0</v>
      </c>
      <c r="O12" s="355">
        <f t="shared" si="11"/>
        <v>84103.356163284625</v>
      </c>
      <c r="P12" s="355">
        <f t="shared" si="11"/>
        <v>1102.287391175</v>
      </c>
      <c r="Q12" s="361"/>
    </row>
    <row r="13" spans="1:17" s="345" customFormat="1" ht="15" x14ac:dyDescent="0.25">
      <c r="A13" s="629" t="str">
        <f>'Estimación por período'!A14</f>
        <v>3.1. Promoción y fortalecimiento de organizaciones de economía solidaria en la cadena de maíz.</v>
      </c>
      <c r="B13" s="350">
        <f>'Estimación por período'!B14</f>
        <v>25936.173910000001</v>
      </c>
      <c r="C13" s="351">
        <v>0.85</v>
      </c>
      <c r="D13" s="351">
        <v>0.1</v>
      </c>
      <c r="E13" s="351">
        <v>0.05</v>
      </c>
      <c r="F13" s="350">
        <f>B13*C13</f>
        <v>22045.747823500002</v>
      </c>
      <c r="G13" s="350">
        <f>B13*D13</f>
        <v>2593.6173910000002</v>
      </c>
      <c r="H13" s="350">
        <f>B13*E13</f>
        <v>1296.8086955000001</v>
      </c>
      <c r="I13" s="352">
        <v>0.75</v>
      </c>
      <c r="J13" s="353"/>
      <c r="K13" s="352">
        <v>0.2</v>
      </c>
      <c r="L13" s="352">
        <v>0.05</v>
      </c>
      <c r="M13" s="350">
        <f t="shared" si="3"/>
        <v>16534.310867625001</v>
      </c>
      <c r="N13" s="350">
        <f t="shared" si="4"/>
        <v>0</v>
      </c>
      <c r="O13" s="350">
        <f t="shared" si="5"/>
        <v>4409.1495647000002</v>
      </c>
      <c r="P13" s="350">
        <f t="shared" si="6"/>
        <v>1102.287391175</v>
      </c>
      <c r="Q13" s="361"/>
    </row>
    <row r="14" spans="1:17" s="345" customFormat="1" ht="15" x14ac:dyDescent="0.25">
      <c r="A14" s="629" t="str">
        <f>'Estimación por período'!A15</f>
        <v>3.2. Promoción de la integración y las alianzas estratégicas regionales en la cadena de maíz.</v>
      </c>
      <c r="B14" s="350">
        <f>'Estimación por período'!B15</f>
        <v>37997.628165499998</v>
      </c>
      <c r="C14" s="351">
        <v>0.9</v>
      </c>
      <c r="D14" s="351">
        <v>0.1</v>
      </c>
      <c r="E14" s="351"/>
      <c r="F14" s="350">
        <f>B14*C14</f>
        <v>34197.865348949999</v>
      </c>
      <c r="G14" s="350">
        <f>B14*D14</f>
        <v>3799.76281655</v>
      </c>
      <c r="H14" s="350">
        <f t="shared" si="9"/>
        <v>0</v>
      </c>
      <c r="I14" s="352">
        <v>0.7</v>
      </c>
      <c r="J14" s="353"/>
      <c r="K14" s="352">
        <v>0.3</v>
      </c>
      <c r="L14" s="353"/>
      <c r="M14" s="350">
        <f t="shared" si="3"/>
        <v>23938.505744265</v>
      </c>
      <c r="N14" s="350">
        <f t="shared" si="4"/>
        <v>0</v>
      </c>
      <c r="O14" s="350">
        <f t="shared" si="5"/>
        <v>10259.359604685</v>
      </c>
      <c r="P14" s="350">
        <f t="shared" si="6"/>
        <v>0</v>
      </c>
      <c r="Q14" s="361"/>
    </row>
    <row r="15" spans="1:17" s="345" customFormat="1" ht="15" x14ac:dyDescent="0.25">
      <c r="A15" s="629" t="str">
        <f>'Estimación por período'!A16</f>
        <v>3.3. Aumento de la capacidad instalada regional para el secamiento, almacenamiento, y  procesamiento agroindustrial de maíz.</v>
      </c>
      <c r="B15" s="350">
        <f>'Estimación por período'!B16</f>
        <v>1295488.0026087963</v>
      </c>
      <c r="C15" s="351">
        <v>0.99</v>
      </c>
      <c r="D15" s="351">
        <v>0.01</v>
      </c>
      <c r="E15" s="351"/>
      <c r="F15" s="350">
        <f>B15*C15</f>
        <v>1282533.1225827085</v>
      </c>
      <c r="G15" s="350">
        <f>B15*D15</f>
        <v>12954.880026087963</v>
      </c>
      <c r="H15" s="350">
        <f t="shared" si="9"/>
        <v>0</v>
      </c>
      <c r="I15" s="352">
        <v>0.95</v>
      </c>
      <c r="J15" s="353"/>
      <c r="K15" s="352">
        <v>0.05</v>
      </c>
      <c r="L15" s="353"/>
      <c r="M15" s="350">
        <f t="shared" si="3"/>
        <v>1218406.466453573</v>
      </c>
      <c r="N15" s="350">
        <f t="shared" si="4"/>
        <v>0</v>
      </c>
      <c r="O15" s="350">
        <f t="shared" si="5"/>
        <v>64126.65612913543</v>
      </c>
      <c r="P15" s="350">
        <f t="shared" si="6"/>
        <v>0</v>
      </c>
      <c r="Q15" s="361"/>
    </row>
    <row r="16" spans="1:17" s="345" customFormat="1" ht="15" x14ac:dyDescent="0.25">
      <c r="A16" s="629" t="str">
        <f>'Estimación por período'!A17</f>
        <v xml:space="preserve">3.4. Fortalecimiento de la oferta de insumos y servicios asociados a la cadena. </v>
      </c>
      <c r="B16" s="350">
        <f>'Estimación por período'!B17</f>
        <v>30338.487270195987</v>
      </c>
      <c r="C16" s="351">
        <v>0.9</v>
      </c>
      <c r="D16" s="351">
        <v>0.1</v>
      </c>
      <c r="E16" s="351"/>
      <c r="F16" s="350">
        <f t="shared" ref="F16:F41" si="12">B16*C16</f>
        <v>27304.638543176388</v>
      </c>
      <c r="G16" s="350">
        <f t="shared" ref="G16:G41" si="13">B16*D16</f>
        <v>3033.8487270195988</v>
      </c>
      <c r="H16" s="350">
        <f t="shared" si="9"/>
        <v>0</v>
      </c>
      <c r="I16" s="352">
        <v>0.9</v>
      </c>
      <c r="J16" s="353"/>
      <c r="K16" s="352">
        <v>0.1</v>
      </c>
      <c r="L16" s="353"/>
      <c r="M16" s="350">
        <f t="shared" si="3"/>
        <v>24574.174688858751</v>
      </c>
      <c r="N16" s="350">
        <f t="shared" si="4"/>
        <v>0</v>
      </c>
      <c r="O16" s="350">
        <f t="shared" si="5"/>
        <v>2730.4638543176388</v>
      </c>
      <c r="P16" s="350">
        <f t="shared" si="6"/>
        <v>0</v>
      </c>
      <c r="Q16" s="361"/>
    </row>
    <row r="17" spans="1:17" s="345" customFormat="1" ht="15" x14ac:dyDescent="0.25">
      <c r="A17" s="630" t="str">
        <f>'Estimación por período'!A18</f>
        <v>3.5. Mejora del entorno productivo para las grandes inversiones en las regiones maiceras.</v>
      </c>
      <c r="B17" s="350">
        <f>'Estimación por período'!B18</f>
        <v>10740.529210193999</v>
      </c>
      <c r="C17" s="351">
        <v>0.8</v>
      </c>
      <c r="D17" s="351">
        <v>0.2</v>
      </c>
      <c r="E17" s="351"/>
      <c r="F17" s="350">
        <f t="shared" si="12"/>
        <v>8592.4233681551996</v>
      </c>
      <c r="G17" s="350">
        <f t="shared" si="13"/>
        <v>2148.1058420387999</v>
      </c>
      <c r="H17" s="350">
        <f t="shared" si="9"/>
        <v>0</v>
      </c>
      <c r="I17" s="352">
        <v>0.7</v>
      </c>
      <c r="J17" s="353"/>
      <c r="K17" s="352">
        <v>0.3</v>
      </c>
      <c r="L17" s="353"/>
      <c r="M17" s="350">
        <f t="shared" si="3"/>
        <v>6014.696357708639</v>
      </c>
      <c r="N17" s="350">
        <f t="shared" si="4"/>
        <v>0</v>
      </c>
      <c r="O17" s="350">
        <f t="shared" si="5"/>
        <v>2577.7270104465597</v>
      </c>
      <c r="P17" s="350">
        <f t="shared" si="6"/>
        <v>0</v>
      </c>
      <c r="Q17" s="361"/>
    </row>
    <row r="18" spans="1:17" s="346" customFormat="1" ht="15" x14ac:dyDescent="0.25">
      <c r="A18" s="629" t="str">
        <f>'Estimación por período'!A19</f>
        <v xml:space="preserve">4. Mejora de la gestión del agua y del suelo en el cultivo de maíz. </v>
      </c>
      <c r="B18" s="354">
        <f>'Estimación por período'!B19</f>
        <v>104419.1618095</v>
      </c>
      <c r="C18" s="348">
        <f>F18/B18</f>
        <v>0.70000000000000007</v>
      </c>
      <c r="D18" s="348">
        <f>G18/B18</f>
        <v>0.20000000000000007</v>
      </c>
      <c r="E18" s="348">
        <f>H18/B18</f>
        <v>0.10000000000000003</v>
      </c>
      <c r="F18" s="354">
        <f>F19+F20</f>
        <v>73093.413266650008</v>
      </c>
      <c r="G18" s="354">
        <f t="shared" ref="G18:H18" si="14">G19+G20</f>
        <v>20883.832361900008</v>
      </c>
      <c r="H18" s="354">
        <f t="shared" si="14"/>
        <v>10441.916180950004</v>
      </c>
      <c r="I18" s="356">
        <f>M18/F18</f>
        <v>0.29999999999999993</v>
      </c>
      <c r="J18" s="356">
        <f>N18/F18</f>
        <v>0.35</v>
      </c>
      <c r="K18" s="356">
        <f>O18/F18</f>
        <v>0.35</v>
      </c>
      <c r="L18" s="356">
        <f>P18/F18</f>
        <v>0</v>
      </c>
      <c r="M18" s="355">
        <f>M19+M20</f>
        <v>21928.023979995</v>
      </c>
      <c r="N18" s="355">
        <f t="shared" ref="N18:P18" si="15">N19+N20</f>
        <v>25582.694643327501</v>
      </c>
      <c r="O18" s="355">
        <f t="shared" si="15"/>
        <v>25582.694643327501</v>
      </c>
      <c r="P18" s="355">
        <f t="shared" si="15"/>
        <v>0</v>
      </c>
      <c r="Q18" s="361"/>
    </row>
    <row r="19" spans="1:17" s="345" customFormat="1" ht="15" x14ac:dyDescent="0.25">
      <c r="A19" s="629" t="str">
        <f>'Estimación por período'!A20</f>
        <v>4.1. Contribución a la gestión del ordenamiento ambiental, fuera de la frontera agrícola.</v>
      </c>
      <c r="B19" s="350">
        <f>'Estimación por período'!B20</f>
        <v>3089.5396350000001</v>
      </c>
      <c r="C19" s="351">
        <v>0.7</v>
      </c>
      <c r="D19" s="351">
        <v>0.2</v>
      </c>
      <c r="E19" s="351">
        <v>0.1</v>
      </c>
      <c r="F19" s="350">
        <f t="shared" si="12"/>
        <v>2162.6777444999998</v>
      </c>
      <c r="G19" s="350">
        <f t="shared" si="13"/>
        <v>617.90792700000009</v>
      </c>
      <c r="H19" s="350">
        <f t="shared" si="9"/>
        <v>308.95396350000004</v>
      </c>
      <c r="I19" s="352">
        <v>0.3</v>
      </c>
      <c r="J19" s="352">
        <v>0.35</v>
      </c>
      <c r="K19" s="352">
        <v>0.35</v>
      </c>
      <c r="L19" s="353"/>
      <c r="M19" s="350">
        <f t="shared" si="3"/>
        <v>648.80332334999991</v>
      </c>
      <c r="N19" s="350">
        <f t="shared" si="4"/>
        <v>756.93721057499988</v>
      </c>
      <c r="O19" s="350">
        <f t="shared" si="5"/>
        <v>756.93721057499988</v>
      </c>
      <c r="P19" s="350">
        <f t="shared" si="6"/>
        <v>0</v>
      </c>
      <c r="Q19" s="361"/>
    </row>
    <row r="20" spans="1:17" s="345" customFormat="1" ht="15" x14ac:dyDescent="0.25">
      <c r="A20" s="630" t="str">
        <f>'Estimación por período'!A21</f>
        <v>4.2. Promoción del manejo eficiente del suelo y del agua, en la producción de maíz.</v>
      </c>
      <c r="B20" s="350">
        <f>'Estimación por período'!B21</f>
        <v>101329.62217450002</v>
      </c>
      <c r="C20" s="351">
        <v>0.7</v>
      </c>
      <c r="D20" s="351">
        <v>0.2</v>
      </c>
      <c r="E20" s="351">
        <v>0.1</v>
      </c>
      <c r="F20" s="350">
        <f t="shared" si="12"/>
        <v>70930.735522150004</v>
      </c>
      <c r="G20" s="350">
        <f t="shared" si="13"/>
        <v>20265.924434900007</v>
      </c>
      <c r="H20" s="350">
        <f t="shared" si="9"/>
        <v>10132.962217450004</v>
      </c>
      <c r="I20" s="352">
        <v>0.3</v>
      </c>
      <c r="J20" s="352">
        <v>0.35</v>
      </c>
      <c r="K20" s="352">
        <v>0.35</v>
      </c>
      <c r="L20" s="353"/>
      <c r="M20" s="350">
        <f t="shared" si="3"/>
        <v>21279.220656645</v>
      </c>
      <c r="N20" s="350">
        <f t="shared" si="4"/>
        <v>24825.7574327525</v>
      </c>
      <c r="O20" s="350">
        <f t="shared" si="5"/>
        <v>24825.7574327525</v>
      </c>
      <c r="P20" s="350">
        <f t="shared" si="6"/>
        <v>0</v>
      </c>
      <c r="Q20" s="361"/>
    </row>
    <row r="21" spans="1:17" s="346" customFormat="1" ht="37.5" customHeight="1" x14ac:dyDescent="0.25">
      <c r="A21" s="629" t="str">
        <f>'Estimación por período'!A22</f>
        <v xml:space="preserve">5. Fortalecimiento de la gestión ambiental en la cadena maicera.
</v>
      </c>
      <c r="B21" s="354">
        <f>'Estimación por período'!B22</f>
        <v>21593.230348064</v>
      </c>
      <c r="C21" s="348">
        <f>F21/B21</f>
        <v>0.7</v>
      </c>
      <c r="D21" s="348">
        <f>G21/B21</f>
        <v>0.20000000000000004</v>
      </c>
      <c r="E21" s="348">
        <f>H21/B21</f>
        <v>0.10000000000000002</v>
      </c>
      <c r="F21" s="354">
        <f>F22</f>
        <v>15115.2612436448</v>
      </c>
      <c r="G21" s="354">
        <f>G22</f>
        <v>4318.6460696128006</v>
      </c>
      <c r="H21" s="354">
        <f>H22</f>
        <v>2159.3230348064003</v>
      </c>
      <c r="I21" s="356">
        <f>M21/F21</f>
        <v>0.5</v>
      </c>
      <c r="J21" s="356">
        <f>N21/F21</f>
        <v>0.25</v>
      </c>
      <c r="K21" s="356">
        <f>O21/F21</f>
        <v>0.25</v>
      </c>
      <c r="L21" s="356">
        <f>P21/F21</f>
        <v>0</v>
      </c>
      <c r="M21" s="355">
        <f>M22</f>
        <v>7557.6306218223999</v>
      </c>
      <c r="N21" s="355">
        <f t="shared" ref="N21:P21" si="16">N22</f>
        <v>3778.8153109112</v>
      </c>
      <c r="O21" s="355">
        <f t="shared" si="16"/>
        <v>3778.8153109112</v>
      </c>
      <c r="P21" s="355">
        <f t="shared" si="16"/>
        <v>0</v>
      </c>
      <c r="Q21" s="361"/>
    </row>
    <row r="22" spans="1:17" s="345" customFormat="1" ht="22.5" customHeight="1" x14ac:dyDescent="0.25">
      <c r="A22" s="630" t="str">
        <f>'Estimación por período'!A23</f>
        <v>5.1. Mejora del desempeño ambiental de la cadena de maíz.</v>
      </c>
      <c r="B22" s="350">
        <f>'Estimación por período'!B23</f>
        <v>21593.230348064</v>
      </c>
      <c r="C22" s="351">
        <v>0.7</v>
      </c>
      <c r="D22" s="351">
        <v>0.2</v>
      </c>
      <c r="E22" s="351">
        <v>0.1</v>
      </c>
      <c r="F22" s="350">
        <f t="shared" si="12"/>
        <v>15115.2612436448</v>
      </c>
      <c r="G22" s="350">
        <f t="shared" si="13"/>
        <v>4318.6460696128006</v>
      </c>
      <c r="H22" s="350">
        <f t="shared" si="9"/>
        <v>2159.3230348064003</v>
      </c>
      <c r="I22" s="352">
        <v>0.5</v>
      </c>
      <c r="J22" s="352">
        <v>0.25</v>
      </c>
      <c r="K22" s="352">
        <v>0.25</v>
      </c>
      <c r="L22" s="353">
        <v>0</v>
      </c>
      <c r="M22" s="350">
        <f t="shared" si="3"/>
        <v>7557.6306218223999</v>
      </c>
      <c r="N22" s="350">
        <f t="shared" si="4"/>
        <v>3778.8153109112</v>
      </c>
      <c r="O22" s="350">
        <f t="shared" si="5"/>
        <v>3778.8153109112</v>
      </c>
      <c r="P22" s="350">
        <f t="shared" si="6"/>
        <v>0</v>
      </c>
      <c r="Q22" s="361"/>
    </row>
    <row r="23" spans="1:17" s="346" customFormat="1" ht="15" x14ac:dyDescent="0.25">
      <c r="A23" s="629" t="str">
        <f>'Estimación por período'!A24</f>
        <v xml:space="preserve">6. Contribución al mejoramiento en las condiciones de vida de la población vinculada a la cadena de maíz. </v>
      </c>
      <c r="B23" s="354">
        <f>'Estimación por período'!B24</f>
        <v>208820.46365339481</v>
      </c>
      <c r="C23" s="348">
        <f>F23/B23</f>
        <v>0.84910393317732691</v>
      </c>
      <c r="D23" s="348">
        <f>G23/B23</f>
        <v>0.10179213364534601</v>
      </c>
      <c r="E23" s="348">
        <f>H23/B23</f>
        <v>4.9103933177326996E-2</v>
      </c>
      <c r="F23" s="354">
        <f>F24+F25+F26+F27+F28</f>
        <v>177310.27701601057</v>
      </c>
      <c r="G23" s="354">
        <f t="shared" ref="G23:H23" si="17">G24+G25+G26+G27+G28</f>
        <v>21256.280544089481</v>
      </c>
      <c r="H23" s="354">
        <f t="shared" si="17"/>
        <v>10253.90609329474</v>
      </c>
      <c r="I23" s="356">
        <f>M23/F23</f>
        <v>0.49662301195352632</v>
      </c>
      <c r="J23" s="356">
        <f>N23/F23</f>
        <v>3.4348786087960693E-2</v>
      </c>
      <c r="K23" s="356">
        <f>O23/F23</f>
        <v>0.3922978096244602</v>
      </c>
      <c r="L23" s="356">
        <f>P23/F23</f>
        <v>7.6730392334052697E-2</v>
      </c>
      <c r="M23" s="355">
        <f>M24+M25+M26+M27+M28</f>
        <v>88056.363822005282</v>
      </c>
      <c r="N23" s="355">
        <f t="shared" ref="N23:P23" si="18">N24+N25+N26+N27+N28</f>
        <v>6090.3927764200007</v>
      </c>
      <c r="O23" s="355">
        <f t="shared" si="18"/>
        <v>69558.433297287222</v>
      </c>
      <c r="P23" s="355">
        <f t="shared" si="18"/>
        <v>13605.087120298058</v>
      </c>
      <c r="Q23" s="361"/>
    </row>
    <row r="24" spans="1:17" s="345" customFormat="1" ht="15" x14ac:dyDescent="0.25">
      <c r="A24" s="629" t="str">
        <f>'Estimación por período'!A25</f>
        <v>6.1  Promoción de la atención de las necesidades básicas de los actores vinculados a la cadena.</v>
      </c>
      <c r="B24" s="350">
        <f>'Estimación por período'!B25</f>
        <v>64607.271652000003</v>
      </c>
      <c r="C24" s="351">
        <v>0.85</v>
      </c>
      <c r="D24" s="351">
        <v>0.1</v>
      </c>
      <c r="E24" s="351">
        <v>0.05</v>
      </c>
      <c r="F24" s="350">
        <f t="shared" si="12"/>
        <v>54916.180904200002</v>
      </c>
      <c r="G24" s="350">
        <f t="shared" si="13"/>
        <v>6460.7271652000009</v>
      </c>
      <c r="H24" s="350">
        <f t="shared" si="9"/>
        <v>3230.3635826000004</v>
      </c>
      <c r="I24" s="352">
        <v>0.5</v>
      </c>
      <c r="J24" s="352">
        <v>0.1</v>
      </c>
      <c r="K24" s="352">
        <v>0.3</v>
      </c>
      <c r="L24" s="352">
        <v>0.1</v>
      </c>
      <c r="M24" s="350">
        <f t="shared" si="3"/>
        <v>27458.090452100001</v>
      </c>
      <c r="N24" s="350">
        <f t="shared" si="4"/>
        <v>5491.618090420001</v>
      </c>
      <c r="O24" s="350">
        <f t="shared" si="5"/>
        <v>16474.854271259999</v>
      </c>
      <c r="P24" s="350">
        <f t="shared" si="6"/>
        <v>5491.618090420001</v>
      </c>
      <c r="Q24" s="361"/>
    </row>
    <row r="25" spans="1:17" s="345" customFormat="1" ht="15" x14ac:dyDescent="0.25">
      <c r="A25" s="629" t="str">
        <f>'Estimación por período'!A26</f>
        <v>6.2. Contribución al incremento del nivel educativo de los actores vinculados a la cadena.</v>
      </c>
      <c r="B25" s="350">
        <f>'Estimación por período'!B26</f>
        <v>13629.695771999999</v>
      </c>
      <c r="C25" s="351">
        <v>0.85</v>
      </c>
      <c r="D25" s="351">
        <v>0.1</v>
      </c>
      <c r="E25" s="351">
        <v>0.05</v>
      </c>
      <c r="F25" s="350">
        <f t="shared" si="12"/>
        <v>11585.241406199999</v>
      </c>
      <c r="G25" s="350">
        <f t="shared" si="13"/>
        <v>1362.9695772</v>
      </c>
      <c r="H25" s="350">
        <f t="shared" si="9"/>
        <v>681.4847886</v>
      </c>
      <c r="I25" s="352">
        <v>0.5</v>
      </c>
      <c r="J25" s="352"/>
      <c r="K25" s="352">
        <v>0.4</v>
      </c>
      <c r="L25" s="352">
        <v>0.1</v>
      </c>
      <c r="M25" s="350">
        <f t="shared" si="3"/>
        <v>5792.6207030999994</v>
      </c>
      <c r="N25" s="350">
        <f t="shared" si="4"/>
        <v>0</v>
      </c>
      <c r="O25" s="350">
        <f t="shared" si="5"/>
        <v>4634.0965624800001</v>
      </c>
      <c r="P25" s="350">
        <f t="shared" si="6"/>
        <v>1158.52414062</v>
      </c>
      <c r="Q25" s="361"/>
    </row>
    <row r="26" spans="1:17" s="345" customFormat="1" ht="15" x14ac:dyDescent="0.25">
      <c r="A26" s="629" t="str">
        <f>'Estimación por período'!A27</f>
        <v>6.3. Mejora en las capacidades técnicas de los agentes económicos de la cadena</v>
      </c>
      <c r="B26" s="350">
        <f>'Estimación por período'!B27</f>
        <v>81822.881050094787</v>
      </c>
      <c r="C26" s="351">
        <v>0.85</v>
      </c>
      <c r="D26" s="351">
        <v>0.1</v>
      </c>
      <c r="E26" s="351">
        <v>0.05</v>
      </c>
      <c r="F26" s="350">
        <f t="shared" si="12"/>
        <v>69549.448892580564</v>
      </c>
      <c r="G26" s="350">
        <f t="shared" si="13"/>
        <v>8182.2881050094793</v>
      </c>
      <c r="H26" s="350">
        <f t="shared" si="9"/>
        <v>4091.1440525047396</v>
      </c>
      <c r="I26" s="352">
        <v>0.5</v>
      </c>
      <c r="J26" s="353"/>
      <c r="K26" s="352">
        <v>0.4</v>
      </c>
      <c r="L26" s="352">
        <v>0.1</v>
      </c>
      <c r="M26" s="350">
        <f t="shared" si="3"/>
        <v>34774.724446290282</v>
      </c>
      <c r="N26" s="350">
        <f t="shared" si="4"/>
        <v>0</v>
      </c>
      <c r="O26" s="350">
        <f t="shared" si="5"/>
        <v>27819.779557032227</v>
      </c>
      <c r="P26" s="350">
        <f t="shared" si="6"/>
        <v>6954.9448892580567</v>
      </c>
      <c r="Q26" s="361"/>
    </row>
    <row r="27" spans="1:17" s="345" customFormat="1" ht="15" x14ac:dyDescent="0.25">
      <c r="A27" s="629" t="str">
        <f>'Estimación por período'!A28</f>
        <v>6.4. Promoción de la generación del empleo formal y la mejora de las condiciones laborales a lo largo de la cadena.</v>
      </c>
      <c r="B27" s="350">
        <f>'Estimación por período'!B28</f>
        <v>45018.273391800009</v>
      </c>
      <c r="C27" s="351">
        <v>0.85</v>
      </c>
      <c r="D27" s="351">
        <v>0.1</v>
      </c>
      <c r="E27" s="351">
        <v>0.05</v>
      </c>
      <c r="F27" s="350">
        <f t="shared" si="12"/>
        <v>38265.532383030004</v>
      </c>
      <c r="G27" s="350">
        <f t="shared" si="13"/>
        <v>4501.8273391800012</v>
      </c>
      <c r="H27" s="350">
        <f t="shared" si="9"/>
        <v>2250.9136695900006</v>
      </c>
      <c r="I27" s="352">
        <v>0.5</v>
      </c>
      <c r="J27" s="353"/>
      <c r="K27" s="352">
        <v>0.5</v>
      </c>
      <c r="L27" s="353"/>
      <c r="M27" s="350">
        <f t="shared" si="3"/>
        <v>19132.766191515002</v>
      </c>
      <c r="N27" s="350">
        <f t="shared" si="4"/>
        <v>0</v>
      </c>
      <c r="O27" s="350">
        <f t="shared" si="5"/>
        <v>19132.766191515002</v>
      </c>
      <c r="P27" s="350">
        <f t="shared" si="6"/>
        <v>0</v>
      </c>
      <c r="Q27" s="361"/>
    </row>
    <row r="28" spans="1:17" s="345" customFormat="1" ht="15" x14ac:dyDescent="0.25">
      <c r="A28" s="630" t="str">
        <f>'Estimación por período'!A29</f>
        <v>6.5. Contribución a la mejora de condiciones de conectividad vial y de servicios públicos, en las regiones maiceras.</v>
      </c>
      <c r="B28" s="350">
        <f>'Estimación por período'!B29</f>
        <v>3742.3417875</v>
      </c>
      <c r="C28" s="351">
        <v>0.8</v>
      </c>
      <c r="D28" s="351">
        <v>0.2</v>
      </c>
      <c r="E28" s="351"/>
      <c r="F28" s="350">
        <f t="shared" si="12"/>
        <v>2993.8734300000001</v>
      </c>
      <c r="G28" s="350">
        <f t="shared" si="13"/>
        <v>748.46835750000002</v>
      </c>
      <c r="H28" s="350">
        <f t="shared" si="9"/>
        <v>0</v>
      </c>
      <c r="I28" s="352">
        <v>0.3</v>
      </c>
      <c r="J28" s="352">
        <v>0.2</v>
      </c>
      <c r="K28" s="352">
        <v>0.5</v>
      </c>
      <c r="L28" s="353"/>
      <c r="M28" s="350">
        <f t="shared" si="3"/>
        <v>898.16202899999996</v>
      </c>
      <c r="N28" s="350">
        <f t="shared" si="4"/>
        <v>598.77468600000009</v>
      </c>
      <c r="O28" s="350">
        <f t="shared" si="5"/>
        <v>1496.936715</v>
      </c>
      <c r="P28" s="350">
        <f t="shared" si="6"/>
        <v>0</v>
      </c>
      <c r="Q28" s="361"/>
    </row>
    <row r="29" spans="1:17" s="346" customFormat="1" ht="15" x14ac:dyDescent="0.25">
      <c r="A29" s="629" t="str">
        <f>'Estimación por período'!A30</f>
        <v>7. Contribución al ordenamiento productivo y social de la propiedad.</v>
      </c>
      <c r="B29" s="354">
        <f>'Estimación por período'!B30</f>
        <v>52239.074348499998</v>
      </c>
      <c r="C29" s="348">
        <f>F29/B29</f>
        <v>0.8</v>
      </c>
      <c r="D29" s="348">
        <f>G29/B29</f>
        <v>0.2</v>
      </c>
      <c r="E29" s="348"/>
      <c r="F29" s="354">
        <f>F30+F31</f>
        <v>41791.259478799999</v>
      </c>
      <c r="G29" s="354">
        <f t="shared" ref="G29:H29" si="19">G30+G31</f>
        <v>10447.8148697</v>
      </c>
      <c r="H29" s="354">
        <f t="shared" si="19"/>
        <v>0</v>
      </c>
      <c r="I29" s="354">
        <f>M29/C29</f>
        <v>31343.444609099995</v>
      </c>
      <c r="J29" s="357"/>
      <c r="K29" s="357">
        <f>O29/F29</f>
        <v>0.4</v>
      </c>
      <c r="L29" s="357"/>
      <c r="M29" s="355">
        <f>M30+M31</f>
        <v>25074.755687279998</v>
      </c>
      <c r="N29" s="355">
        <f t="shared" ref="N29:P29" si="20">N30+N31</f>
        <v>0</v>
      </c>
      <c r="O29" s="355">
        <f t="shared" si="20"/>
        <v>16716.503791520001</v>
      </c>
      <c r="P29" s="355">
        <f t="shared" si="20"/>
        <v>0</v>
      </c>
      <c r="Q29" s="361"/>
    </row>
    <row r="30" spans="1:17" s="345" customFormat="1" ht="15" x14ac:dyDescent="0.25">
      <c r="A30" s="629" t="str">
        <f>'Estimación por período'!A31</f>
        <v>7.1. Articulación con las políticas de ordenamiento productivo y social de la propiedad rural para el cultivo de maíz.</v>
      </c>
      <c r="B30" s="350">
        <f>'Estimación por período'!B31</f>
        <v>14243.132557499999</v>
      </c>
      <c r="C30" s="351">
        <v>0.8</v>
      </c>
      <c r="D30" s="351">
        <v>0.2</v>
      </c>
      <c r="E30" s="351"/>
      <c r="F30" s="350">
        <f t="shared" si="12"/>
        <v>11394.506046</v>
      </c>
      <c r="G30" s="350">
        <f t="shared" si="13"/>
        <v>2848.6265115000001</v>
      </c>
      <c r="H30" s="350">
        <f t="shared" si="9"/>
        <v>0</v>
      </c>
      <c r="I30" s="352">
        <v>0.6</v>
      </c>
      <c r="J30" s="353"/>
      <c r="K30" s="352">
        <v>0.4</v>
      </c>
      <c r="L30" s="353"/>
      <c r="M30" s="350">
        <f t="shared" si="3"/>
        <v>6836.7036275999999</v>
      </c>
      <c r="N30" s="350">
        <f t="shared" si="4"/>
        <v>0</v>
      </c>
      <c r="O30" s="350">
        <f t="shared" si="5"/>
        <v>4557.8024184000005</v>
      </c>
      <c r="P30" s="350">
        <f t="shared" si="6"/>
        <v>0</v>
      </c>
      <c r="Q30" s="361"/>
    </row>
    <row r="31" spans="1:17" s="345" customFormat="1" ht="15" x14ac:dyDescent="0.25">
      <c r="A31" s="630" t="str">
        <f>'Estimación por período'!A32</f>
        <v xml:space="preserve">7.2  Fortalecimiento en el acceso y la seguridad jurídica de los predios e inversiones para el cultivo de maíz. </v>
      </c>
      <c r="B31" s="350">
        <f>'Estimación por período'!B32</f>
        <v>37995.941790999997</v>
      </c>
      <c r="C31" s="351">
        <v>0.8</v>
      </c>
      <c r="D31" s="351">
        <v>0.2</v>
      </c>
      <c r="E31" s="351"/>
      <c r="F31" s="350">
        <f t="shared" si="12"/>
        <v>30396.7534328</v>
      </c>
      <c r="G31" s="350">
        <f t="shared" si="13"/>
        <v>7599.1883582</v>
      </c>
      <c r="H31" s="350">
        <f t="shared" si="9"/>
        <v>0</v>
      </c>
      <c r="I31" s="352">
        <v>0.6</v>
      </c>
      <c r="J31" s="353"/>
      <c r="K31" s="352">
        <v>0.4</v>
      </c>
      <c r="L31" s="353"/>
      <c r="M31" s="350">
        <f t="shared" si="3"/>
        <v>18238.052059679998</v>
      </c>
      <c r="N31" s="350">
        <f t="shared" si="4"/>
        <v>0</v>
      </c>
      <c r="O31" s="350">
        <f t="shared" si="5"/>
        <v>12158.70137312</v>
      </c>
      <c r="P31" s="350">
        <f t="shared" si="6"/>
        <v>0</v>
      </c>
      <c r="Q31" s="361"/>
    </row>
    <row r="32" spans="1:17" s="346" customFormat="1" ht="15" x14ac:dyDescent="0.25">
      <c r="A32" s="629" t="str">
        <f>'Estimación por período'!A33</f>
        <v>8. Fortalecimiento del desarrollo tecnológico y la innovación en la cadena de maíz.</v>
      </c>
      <c r="B32" s="354">
        <f>'Estimación por período'!B33</f>
        <v>27234.2557845095</v>
      </c>
      <c r="C32" s="348">
        <f>F32/B32</f>
        <v>0.64999999999999991</v>
      </c>
      <c r="D32" s="348">
        <f>G32/B32</f>
        <v>0.29999999999999993</v>
      </c>
      <c r="E32" s="348">
        <f>H32/B32</f>
        <v>0.05</v>
      </c>
      <c r="F32" s="354">
        <f>F33+F34</f>
        <v>17702.266259931173</v>
      </c>
      <c r="G32" s="354">
        <f t="shared" ref="G32:H32" si="21">G33+G34</f>
        <v>8170.2767353528488</v>
      </c>
      <c r="H32" s="354">
        <f t="shared" si="21"/>
        <v>1361.712789225475</v>
      </c>
      <c r="I32" s="356">
        <f>M32/F32</f>
        <v>0.39999999999999997</v>
      </c>
      <c r="J32" s="356">
        <f>N32/F32</f>
        <v>0.3</v>
      </c>
      <c r="K32" s="356">
        <f>O32/F32</f>
        <v>0.3</v>
      </c>
      <c r="L32" s="356"/>
      <c r="M32" s="355">
        <f>M33+M34</f>
        <v>7080.9065039724692</v>
      </c>
      <c r="N32" s="355">
        <f t="shared" ref="N32:P32" si="22">N33+N34</f>
        <v>5310.6798779793517</v>
      </c>
      <c r="O32" s="355">
        <f t="shared" si="22"/>
        <v>5310.6798779793517</v>
      </c>
      <c r="P32" s="355">
        <f t="shared" si="22"/>
        <v>0</v>
      </c>
      <c r="Q32" s="361"/>
    </row>
    <row r="33" spans="1:17" s="345" customFormat="1" ht="15" x14ac:dyDescent="0.25">
      <c r="A33" s="629" t="str">
        <f>'Estimación por período'!A34</f>
        <v>8.1. Fortalecimiento de los procesos I+D+i para la cadena de maíz y sus derivados.</v>
      </c>
      <c r="B33" s="350">
        <f>'Estimación por período'!B34</f>
        <v>7040.3814005094991</v>
      </c>
      <c r="C33" s="351">
        <v>0.65</v>
      </c>
      <c r="D33" s="351">
        <v>0.3</v>
      </c>
      <c r="E33" s="351">
        <v>0.05</v>
      </c>
      <c r="F33" s="350">
        <f t="shared" si="12"/>
        <v>4576.2479103311744</v>
      </c>
      <c r="G33" s="350">
        <f t="shared" si="13"/>
        <v>2112.1144201528496</v>
      </c>
      <c r="H33" s="350">
        <f t="shared" si="9"/>
        <v>352.019070025475</v>
      </c>
      <c r="I33" s="352">
        <v>0.4</v>
      </c>
      <c r="J33" s="352">
        <v>0.3</v>
      </c>
      <c r="K33" s="352">
        <v>0.3</v>
      </c>
      <c r="L33" s="353"/>
      <c r="M33" s="350">
        <f t="shared" si="3"/>
        <v>1830.4991641324698</v>
      </c>
      <c r="N33" s="350">
        <f t="shared" si="4"/>
        <v>1372.8743730993522</v>
      </c>
      <c r="O33" s="350">
        <f t="shared" si="5"/>
        <v>1372.8743730993522</v>
      </c>
      <c r="P33" s="350">
        <f t="shared" si="6"/>
        <v>0</v>
      </c>
      <c r="Q33" s="361"/>
    </row>
    <row r="34" spans="1:17" s="345" customFormat="1" ht="15" x14ac:dyDescent="0.25">
      <c r="A34" s="630" t="str">
        <f>'Estimación por período'!A35</f>
        <v>8.2. Fortalecimiento del talento humano en I+D+i, y en extensionismo agrícola e industrial.</v>
      </c>
      <c r="B34" s="350">
        <f>'Estimación por período'!B35</f>
        <v>20193.874383999999</v>
      </c>
      <c r="C34" s="351">
        <v>0.65</v>
      </c>
      <c r="D34" s="351">
        <v>0.3</v>
      </c>
      <c r="E34" s="351">
        <v>0.05</v>
      </c>
      <c r="F34" s="350">
        <f t="shared" si="12"/>
        <v>13126.018349599999</v>
      </c>
      <c r="G34" s="350">
        <f t="shared" si="13"/>
        <v>6058.1623151999993</v>
      </c>
      <c r="H34" s="350">
        <f t="shared" si="9"/>
        <v>1009.6937192</v>
      </c>
      <c r="I34" s="352">
        <v>0.4</v>
      </c>
      <c r="J34" s="352">
        <v>0.3</v>
      </c>
      <c r="K34" s="352">
        <v>0.3</v>
      </c>
      <c r="L34" s="353"/>
      <c r="M34" s="350">
        <f t="shared" si="3"/>
        <v>5250.4073398399996</v>
      </c>
      <c r="N34" s="350">
        <f t="shared" si="4"/>
        <v>3937.8055048799997</v>
      </c>
      <c r="O34" s="350">
        <f t="shared" si="5"/>
        <v>3937.8055048799997</v>
      </c>
      <c r="P34" s="350">
        <f t="shared" si="6"/>
        <v>0</v>
      </c>
      <c r="Q34" s="361"/>
    </row>
    <row r="35" spans="1:17" s="346" customFormat="1" ht="15" x14ac:dyDescent="0.25">
      <c r="A35" s="629" t="str">
        <f>'Estimación por período'!A36</f>
        <v>9. Fortalecimiento de la gestión institucional de la cadena de maíz</v>
      </c>
      <c r="B35" s="354">
        <f>'Estimación por período'!B36</f>
        <v>11686.193987750001</v>
      </c>
      <c r="C35" s="348">
        <f>F35/B35</f>
        <v>0.84246677393064984</v>
      </c>
      <c r="D35" s="348">
        <f>G35/B35</f>
        <v>0.11209464756431047</v>
      </c>
      <c r="E35" s="348">
        <f>H35/B35</f>
        <v>4.5438578505039587E-2</v>
      </c>
      <c r="F35" s="354">
        <f>F36+F37+F38+F39+F40+F41</f>
        <v>9845.2301483874999</v>
      </c>
      <c r="G35" s="354">
        <f t="shared" ref="G35:H35" si="23">G36+G37+G38+G39+G40+G41</f>
        <v>1309.9597964250001</v>
      </c>
      <c r="H35" s="354">
        <f t="shared" si="23"/>
        <v>531.0040429375</v>
      </c>
      <c r="I35" s="356">
        <f>M35/F35</f>
        <v>0.79538738108804519</v>
      </c>
      <c r="J35" s="356">
        <f>N35/F35</f>
        <v>0</v>
      </c>
      <c r="K35" s="356">
        <f>O35/F35</f>
        <v>0.10461261891195482</v>
      </c>
      <c r="L35" s="356">
        <f>P35/F35</f>
        <v>0.10000000000000002</v>
      </c>
      <c r="M35" s="355">
        <f>M36+M37+M38+M39+M40+M41</f>
        <v>7830.7718239349997</v>
      </c>
      <c r="N35" s="355">
        <f t="shared" ref="N35:P35" si="24">N36+N37+N38+N39+N40+N41</f>
        <v>0</v>
      </c>
      <c r="O35" s="355">
        <f t="shared" si="24"/>
        <v>1029.93530961375</v>
      </c>
      <c r="P35" s="355">
        <f t="shared" si="24"/>
        <v>984.52301483875021</v>
      </c>
      <c r="Q35" s="361"/>
    </row>
    <row r="36" spans="1:17" s="345" customFormat="1" ht="15" x14ac:dyDescent="0.25">
      <c r="A36" s="629" t="str">
        <f>'Estimación por período'!A37</f>
        <v>9.1. Fortalecimiento del Sistema de Inspección, Vigilancia y Control para la cadena de maíz.</v>
      </c>
      <c r="B36" s="350">
        <f>'Estimación por período'!B37</f>
        <v>2057.7055274999998</v>
      </c>
      <c r="C36" s="351">
        <v>0.95</v>
      </c>
      <c r="D36" s="351"/>
      <c r="E36" s="351">
        <v>0.05</v>
      </c>
      <c r="F36" s="350">
        <f>B36*C36</f>
        <v>1954.8202511249997</v>
      </c>
      <c r="G36" s="350">
        <f t="shared" si="13"/>
        <v>0</v>
      </c>
      <c r="H36" s="350">
        <f t="shared" si="9"/>
        <v>102.88527637499999</v>
      </c>
      <c r="I36" s="352">
        <v>0.9</v>
      </c>
      <c r="J36" s="353"/>
      <c r="K36" s="353"/>
      <c r="L36" s="352">
        <v>0.1</v>
      </c>
      <c r="M36" s="350">
        <f t="shared" si="3"/>
        <v>1759.3382260124997</v>
      </c>
      <c r="N36" s="350">
        <f t="shared" si="4"/>
        <v>0</v>
      </c>
      <c r="O36" s="350">
        <f t="shared" si="5"/>
        <v>0</v>
      </c>
      <c r="P36" s="350">
        <f t="shared" si="6"/>
        <v>195.48202511249997</v>
      </c>
      <c r="Q36" s="361"/>
    </row>
    <row r="37" spans="1:17" s="345" customFormat="1" ht="15" x14ac:dyDescent="0.25">
      <c r="A37" s="629" t="str">
        <f>'Estimación por período'!A38</f>
        <v>9.2. Diseño y mejora de los instrumentos de financiamiento, comercialización, gestión de riesgos y empresarización para la cadena de maíz.</v>
      </c>
      <c r="B37" s="350">
        <f>'Estimación por período'!B38</f>
        <v>1566.1648700000001</v>
      </c>
      <c r="C37" s="351">
        <v>0.95</v>
      </c>
      <c r="D37" s="351"/>
      <c r="E37" s="351">
        <v>0.05</v>
      </c>
      <c r="F37" s="350">
        <f>B37*C37</f>
        <v>1487.8566264999999</v>
      </c>
      <c r="G37" s="350">
        <f t="shared" si="13"/>
        <v>0</v>
      </c>
      <c r="H37" s="350">
        <f>B37*E37</f>
        <v>78.308243500000003</v>
      </c>
      <c r="I37" s="352">
        <v>0.9</v>
      </c>
      <c r="J37" s="353"/>
      <c r="K37" s="353"/>
      <c r="L37" s="352">
        <v>0.1</v>
      </c>
      <c r="M37" s="350">
        <f t="shared" si="3"/>
        <v>1339.07096385</v>
      </c>
      <c r="N37" s="350">
        <f t="shared" si="4"/>
        <v>0</v>
      </c>
      <c r="O37" s="350">
        <f t="shared" si="5"/>
        <v>0</v>
      </c>
      <c r="P37" s="350">
        <f t="shared" si="6"/>
        <v>148.78566265000001</v>
      </c>
      <c r="Q37" s="361"/>
    </row>
    <row r="38" spans="1:17" s="345" customFormat="1" ht="15" x14ac:dyDescent="0.25">
      <c r="A38" s="629" t="str">
        <f>'Estimación por período'!A39</f>
        <v>9.3. Fortalecimiento de mecanismos institucionales para el impulso a las inversiones en producción de maíz a mediana y gran escala.</v>
      </c>
      <c r="B38" s="350">
        <f>'Estimación por período'!B39</f>
        <v>3917.8721744999998</v>
      </c>
      <c r="C38" s="351">
        <v>0.8</v>
      </c>
      <c r="D38" s="351">
        <v>0.15</v>
      </c>
      <c r="E38" s="351">
        <v>0.05</v>
      </c>
      <c r="F38" s="350">
        <f>B38*C38</f>
        <v>3134.2977396000001</v>
      </c>
      <c r="G38" s="350">
        <f t="shared" si="13"/>
        <v>587.68082617499999</v>
      </c>
      <c r="H38" s="350">
        <f t="shared" si="9"/>
        <v>195.89360872500001</v>
      </c>
      <c r="I38" s="352">
        <v>0.8</v>
      </c>
      <c r="J38" s="353"/>
      <c r="K38" s="352">
        <v>0.1</v>
      </c>
      <c r="L38" s="352">
        <v>0.1</v>
      </c>
      <c r="M38" s="350">
        <f t="shared" si="3"/>
        <v>2507.4381916800003</v>
      </c>
      <c r="N38" s="350">
        <f t="shared" si="4"/>
        <v>0</v>
      </c>
      <c r="O38" s="350">
        <f t="shared" si="5"/>
        <v>313.42977396000003</v>
      </c>
      <c r="P38" s="350">
        <f t="shared" si="6"/>
        <v>313.42977396000003</v>
      </c>
      <c r="Q38" s="361"/>
    </row>
    <row r="39" spans="1:17" s="345" customFormat="1" ht="15" x14ac:dyDescent="0.25">
      <c r="A39" s="629" t="str">
        <f>'Estimación por período'!A40</f>
        <v>9.4. Diseño y operación del Sistema nacional de Información para la cadena de maíz.</v>
      </c>
      <c r="B39" s="350">
        <f>'Estimación por período'!B40</f>
        <v>2117.3948137500001</v>
      </c>
      <c r="C39" s="351">
        <v>0.75</v>
      </c>
      <c r="D39" s="351">
        <v>0.2</v>
      </c>
      <c r="E39" s="351">
        <v>0.05</v>
      </c>
      <c r="F39" s="350">
        <f t="shared" si="12"/>
        <v>1588.0461103125001</v>
      </c>
      <c r="G39" s="350">
        <f t="shared" si="13"/>
        <v>423.47896275000005</v>
      </c>
      <c r="H39" s="350">
        <f t="shared" si="9"/>
        <v>105.86974068750001</v>
      </c>
      <c r="I39" s="352">
        <v>0.6</v>
      </c>
      <c r="J39" s="353"/>
      <c r="K39" s="352">
        <v>0.3</v>
      </c>
      <c r="L39" s="352">
        <v>0.1</v>
      </c>
      <c r="M39" s="350">
        <f t="shared" si="3"/>
        <v>952.82766618749997</v>
      </c>
      <c r="N39" s="350">
        <f t="shared" si="4"/>
        <v>0</v>
      </c>
      <c r="O39" s="350">
        <f t="shared" si="5"/>
        <v>476.41383309374999</v>
      </c>
      <c r="P39" s="350">
        <f t="shared" si="6"/>
        <v>158.80461103125003</v>
      </c>
      <c r="Q39" s="361"/>
    </row>
    <row r="40" spans="1:17" s="345" customFormat="1" ht="15" x14ac:dyDescent="0.25">
      <c r="A40" s="629" t="str">
        <f>'Estimación por período'!A41</f>
        <v>9.5. Constitución y fortalecimiento de la Organización de Cadena de maíz.</v>
      </c>
      <c r="B40" s="350">
        <f>'Estimación por período'!B41</f>
        <v>960.94347300000004</v>
      </c>
      <c r="C40" s="351">
        <v>0.75</v>
      </c>
      <c r="D40" s="351">
        <v>0.2</v>
      </c>
      <c r="E40" s="351">
        <v>0.05</v>
      </c>
      <c r="F40" s="350">
        <f t="shared" si="12"/>
        <v>720.70760474999997</v>
      </c>
      <c r="G40" s="350">
        <f t="shared" si="13"/>
        <v>192.18869460000002</v>
      </c>
      <c r="H40" s="350">
        <f t="shared" si="9"/>
        <v>48.047173650000005</v>
      </c>
      <c r="I40" s="352">
        <v>0.7</v>
      </c>
      <c r="J40" s="353"/>
      <c r="K40" s="352">
        <v>0.2</v>
      </c>
      <c r="L40" s="352">
        <v>0.1</v>
      </c>
      <c r="M40" s="350">
        <f t="shared" si="3"/>
        <v>504.49532332499996</v>
      </c>
      <c r="N40" s="350">
        <f t="shared" si="4"/>
        <v>0</v>
      </c>
      <c r="O40" s="350">
        <f t="shared" si="5"/>
        <v>144.14152095</v>
      </c>
      <c r="P40" s="350">
        <f t="shared" si="6"/>
        <v>72.070760475</v>
      </c>
      <c r="Q40" s="361"/>
    </row>
    <row r="41" spans="1:17" s="345" customFormat="1" ht="30" x14ac:dyDescent="0.25">
      <c r="A41" s="628" t="str">
        <f>'Estimación por período'!A42</f>
        <v>9.6. Adopción, promoción y monitoreo de la política pública para la cadena de maíz.</v>
      </c>
      <c r="B41" s="350">
        <f>'Estimación por período'!B42</f>
        <v>1066.1131290000001</v>
      </c>
      <c r="C41" s="351">
        <v>0.9</v>
      </c>
      <c r="D41" s="351">
        <v>0.1</v>
      </c>
      <c r="E41" s="351"/>
      <c r="F41" s="350">
        <f t="shared" si="12"/>
        <v>959.50181610000004</v>
      </c>
      <c r="G41" s="350">
        <f t="shared" si="13"/>
        <v>106.61131290000002</v>
      </c>
      <c r="H41" s="350">
        <f t="shared" si="9"/>
        <v>0</v>
      </c>
      <c r="I41" s="352">
        <v>0.8</v>
      </c>
      <c r="J41" s="353"/>
      <c r="K41" s="352">
        <v>0.1</v>
      </c>
      <c r="L41" s="352">
        <v>0.1</v>
      </c>
      <c r="M41" s="350">
        <f t="shared" si="3"/>
        <v>767.60145288000012</v>
      </c>
      <c r="N41" s="350">
        <f t="shared" si="4"/>
        <v>0</v>
      </c>
      <c r="O41" s="350">
        <f t="shared" si="5"/>
        <v>95.950181610000016</v>
      </c>
      <c r="P41" s="350">
        <f t="shared" si="6"/>
        <v>95.950181610000016</v>
      </c>
      <c r="Q41" s="361"/>
    </row>
    <row r="42" spans="1:17" s="347" customFormat="1" ht="15.75" x14ac:dyDescent="0.25">
      <c r="A42" s="378" t="s">
        <v>286</v>
      </c>
      <c r="B42" s="363">
        <f>'Estimación por período'!B43</f>
        <v>2983597.712243442</v>
      </c>
      <c r="C42" s="375">
        <f>F42/B42</f>
        <v>0.93294870833348376</v>
      </c>
      <c r="D42" s="376">
        <f>G42/B42</f>
        <v>5.1509728005788159E-2</v>
      </c>
      <c r="E42" s="377">
        <f>H42/B42</f>
        <v>1.5541563660728083E-2</v>
      </c>
      <c r="F42" s="365">
        <f>F6+F9+F12+F18+F21+F23+F32+F35+F29</f>
        <v>2783543.6318242564</v>
      </c>
      <c r="G42" s="366">
        <f t="shared" ref="G42:P42" si="25">G6+G9+G12+G18+G21+G23+G32+G35+G29</f>
        <v>153684.30663635151</v>
      </c>
      <c r="H42" s="367">
        <f t="shared" si="25"/>
        <v>46369.77378283412</v>
      </c>
      <c r="I42" s="364">
        <f>M42/F42</f>
        <v>0.85075227532857589</v>
      </c>
      <c r="J42" s="375">
        <f>N42/F42</f>
        <v>1.4644132803452196E-2</v>
      </c>
      <c r="K42" s="375">
        <f>O42/F42</f>
        <v>0.12105737914952852</v>
      </c>
      <c r="L42" s="375">
        <f>P42/F42</f>
        <v>1.3546212718443553E-2</v>
      </c>
      <c r="M42" s="368">
        <f t="shared" si="25"/>
        <v>2368106.0782508538</v>
      </c>
      <c r="N42" s="368">
        <f t="shared" si="25"/>
        <v>40762.582608638055</v>
      </c>
      <c r="O42" s="368">
        <f t="shared" si="25"/>
        <v>336968.49681700463</v>
      </c>
      <c r="P42" s="368">
        <f t="shared" si="25"/>
        <v>37706.474147760302</v>
      </c>
      <c r="Q42" s="361"/>
    </row>
    <row r="43" spans="1:17" s="167" customFormat="1" ht="15.75" x14ac:dyDescent="0.25">
      <c r="A43" s="378" t="s">
        <v>415</v>
      </c>
      <c r="B43" s="53"/>
      <c r="C43" s="53"/>
      <c r="D43" s="53"/>
      <c r="E43" s="53"/>
      <c r="F43" s="365">
        <f>F42/20</f>
        <v>139177.18159121281</v>
      </c>
      <c r="G43" s="366">
        <f>G42/20</f>
        <v>7684.2153318175751</v>
      </c>
      <c r="H43" s="367">
        <f>H42/20</f>
        <v>2318.4886891417059</v>
      </c>
      <c r="M43" s="368">
        <f>M42/12</f>
        <v>197342.17318757114</v>
      </c>
      <c r="N43" s="368">
        <f>N42/12</f>
        <v>3396.8818840531712</v>
      </c>
      <c r="O43" s="368">
        <f>O42/12</f>
        <v>28080.708068083721</v>
      </c>
      <c r="P43" s="368">
        <f>P42/12</f>
        <v>3142.206178980025</v>
      </c>
      <c r="Q43" s="361"/>
    </row>
  </sheetData>
  <sheetProtection algorithmName="SHA-512" hashValue="v2q2Q0SeNmPwonvbispuLuL6SG6bHWFqvKg/Sq0m8XqPb527tgdereHXHDLQq5RtTqvCKiycR/OfUYruzGl5Qw==" saltValue="BZq038q1DSEHvJaSid12UA==" spinCount="100000" sheet="1" objects="1" scenarios="1"/>
  <mergeCells count="2">
    <mergeCell ref="A1:P1"/>
    <mergeCell ref="A2:P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4"/>
  <sheetViews>
    <sheetView showGridLines="0" topLeftCell="A10" zoomScale="70" zoomScaleNormal="70" workbookViewId="0">
      <selection activeCell="B11" sqref="B11"/>
    </sheetView>
  </sheetViews>
  <sheetFormatPr baseColWidth="10" defaultColWidth="10.7109375" defaultRowHeight="14.25" x14ac:dyDescent="0.2"/>
  <cols>
    <col min="1" max="1" width="13.42578125" style="37" customWidth="1"/>
    <col min="2" max="2" width="67.42578125" style="37" customWidth="1"/>
    <col min="3" max="3" width="26.42578125" style="37" customWidth="1"/>
    <col min="4" max="4" width="27.140625" style="37" customWidth="1"/>
    <col min="5" max="5" width="22.42578125" style="37" customWidth="1"/>
    <col min="6" max="7" width="19.7109375" style="37" bestFit="1" customWidth="1"/>
    <col min="8" max="8" width="21.42578125" style="37" customWidth="1"/>
    <col min="9" max="9" width="19.7109375" style="37" hidden="1" customWidth="1"/>
    <col min="10" max="11" width="19.7109375" style="37" bestFit="1" customWidth="1"/>
    <col min="12" max="12" width="19.140625" style="37" bestFit="1" customWidth="1"/>
    <col min="13" max="22" width="19.7109375" style="37" bestFit="1" customWidth="1"/>
    <col min="23" max="23" width="20.42578125" style="37" bestFit="1" customWidth="1"/>
    <col min="24" max="24" width="25.42578125" style="37" customWidth="1"/>
    <col min="25" max="25" width="22.28515625" style="37" bestFit="1" customWidth="1"/>
    <col min="26" max="26" width="19.140625" style="37" bestFit="1" customWidth="1"/>
    <col min="27" max="27" width="17" style="37" bestFit="1" customWidth="1"/>
    <col min="28" max="28" width="17.85546875" style="37" customWidth="1"/>
    <col min="29" max="16384" width="10.7109375" style="37"/>
  </cols>
  <sheetData>
    <row r="2" spans="1:26" ht="15" x14ac:dyDescent="0.25">
      <c r="A2" s="58" t="s">
        <v>98</v>
      </c>
    </row>
    <row r="3" spans="1:26" s="38" customFormat="1" ht="15" x14ac:dyDescent="0.25">
      <c r="A3" s="50"/>
    </row>
    <row r="4" spans="1:26" ht="21.75" customHeight="1" x14ac:dyDescent="0.25">
      <c r="A4" s="59"/>
      <c r="B4" s="60" t="str">
        <f>'PPP_V3_y Costos'!C2</f>
        <v>1. Incremento del consumo de maíz nacional.</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37"/>
      <c r="B7" s="64" t="s">
        <v>29</v>
      </c>
      <c r="C7" s="65" t="s">
        <v>77</v>
      </c>
      <c r="D7" s="65" t="s">
        <v>176</v>
      </c>
      <c r="E7" s="66">
        <f t="shared" ref="E7" si="0">SUM(E8:E9)</f>
        <v>1180628211.9875</v>
      </c>
      <c r="F7" s="66">
        <f>SUM(F8:F9)</f>
        <v>13207564847.949997</v>
      </c>
      <c r="G7" s="66">
        <f t="shared" ref="G7:X7" si="1">SUM(G8:G9)</f>
        <v>13207564847.949997</v>
      </c>
      <c r="H7" s="66">
        <f t="shared" si="1"/>
        <v>13207564847.949997</v>
      </c>
      <c r="I7" s="66">
        <f t="shared" si="1"/>
        <v>13207564847.949997</v>
      </c>
      <c r="J7" s="66">
        <f t="shared" si="1"/>
        <v>13207564847.949997</v>
      </c>
      <c r="K7" s="66">
        <f t="shared" si="1"/>
        <v>4722512847.9499998</v>
      </c>
      <c r="L7" s="66">
        <f t="shared" si="1"/>
        <v>4722512847.9499998</v>
      </c>
      <c r="M7" s="66">
        <f t="shared" si="1"/>
        <v>4722512847.9499998</v>
      </c>
      <c r="N7" s="66">
        <f t="shared" si="1"/>
        <v>4722512847.9499998</v>
      </c>
      <c r="O7" s="66">
        <f t="shared" si="1"/>
        <v>4722512847.9499998</v>
      </c>
      <c r="P7" s="66">
        <f t="shared" si="1"/>
        <v>4722512847.9499998</v>
      </c>
      <c r="Q7" s="66">
        <f t="shared" si="1"/>
        <v>4722512847.9499998</v>
      </c>
      <c r="R7" s="66">
        <f t="shared" si="1"/>
        <v>4722512847.9499998</v>
      </c>
      <c r="S7" s="66">
        <f t="shared" si="1"/>
        <v>4722512847.9499998</v>
      </c>
      <c r="T7" s="66">
        <f t="shared" si="1"/>
        <v>4722512847.9499998</v>
      </c>
      <c r="U7" s="66">
        <f t="shared" si="1"/>
        <v>4722512847.9499998</v>
      </c>
      <c r="V7" s="66">
        <f t="shared" si="1"/>
        <v>4722512847.9499998</v>
      </c>
      <c r="W7" s="66">
        <f t="shared" si="1"/>
        <v>4722512847.9499998</v>
      </c>
      <c r="X7" s="66">
        <f t="shared" si="1"/>
        <v>4722512847.9499998</v>
      </c>
      <c r="Y7" s="66">
        <f>SUM(E7:X7)</f>
        <v>133333632323.03745</v>
      </c>
    </row>
    <row r="8" spans="1:26" s="71" customFormat="1" ht="60" customHeight="1" x14ac:dyDescent="0.2">
      <c r="A8" s="68"/>
      <c r="B8" s="69" t="str">
        <f>'PPP_V3_y Costos'!D2</f>
        <v>1.1. Aumento de la participación del maíz nacional en el mercado de consumo animal.</v>
      </c>
      <c r="C8" s="114" t="s">
        <v>405</v>
      </c>
      <c r="D8" s="114" t="s">
        <v>177</v>
      </c>
      <c r="E8" s="70">
        <f>I37*3</f>
        <v>516491238.75</v>
      </c>
      <c r="F8" s="70">
        <f>H38</f>
        <v>10551016954.999998</v>
      </c>
      <c r="G8" s="70">
        <f t="shared" ref="G8:W8" si="2">F8</f>
        <v>10551016954.999998</v>
      </c>
      <c r="H8" s="70">
        <f t="shared" si="2"/>
        <v>10551016954.999998</v>
      </c>
      <c r="I8" s="70">
        <f t="shared" si="2"/>
        <v>10551016954.999998</v>
      </c>
      <c r="J8" s="70">
        <f t="shared" si="2"/>
        <v>10551016954.999998</v>
      </c>
      <c r="K8" s="70">
        <f>H37</f>
        <v>2065964955</v>
      </c>
      <c r="L8" s="70">
        <f t="shared" si="2"/>
        <v>2065964955</v>
      </c>
      <c r="M8" s="70">
        <f t="shared" si="2"/>
        <v>2065964955</v>
      </c>
      <c r="N8" s="70">
        <f t="shared" si="2"/>
        <v>2065964955</v>
      </c>
      <c r="O8" s="70">
        <f t="shared" si="2"/>
        <v>2065964955</v>
      </c>
      <c r="P8" s="70">
        <f t="shared" si="2"/>
        <v>2065964955</v>
      </c>
      <c r="Q8" s="70">
        <f t="shared" si="2"/>
        <v>2065964955</v>
      </c>
      <c r="R8" s="70">
        <f t="shared" si="2"/>
        <v>2065964955</v>
      </c>
      <c r="S8" s="70">
        <f t="shared" si="2"/>
        <v>2065964955</v>
      </c>
      <c r="T8" s="70">
        <f t="shared" si="2"/>
        <v>2065964955</v>
      </c>
      <c r="U8" s="70">
        <f t="shared" si="2"/>
        <v>2065964955</v>
      </c>
      <c r="V8" s="70">
        <f t="shared" si="2"/>
        <v>2065964955</v>
      </c>
      <c r="W8" s="70">
        <f t="shared" si="2"/>
        <v>2065964955</v>
      </c>
      <c r="X8" s="70">
        <f>W8</f>
        <v>2065964955</v>
      </c>
      <c r="Y8" s="70">
        <f>SUM(E8:X8)</f>
        <v>82195085383.75</v>
      </c>
    </row>
    <row r="9" spans="1:26" s="71" customFormat="1" ht="42.95" customHeight="1" x14ac:dyDescent="0.2">
      <c r="A9" s="68"/>
      <c r="B9" s="69" t="str">
        <f>'PPP_V3_y Costos'!D3</f>
        <v>1.2. Posicionamiento de la oferta del maíz nacional y sus derivados, para  alimentación humana y otros usos.</v>
      </c>
      <c r="C9" s="114" t="s">
        <v>235</v>
      </c>
      <c r="D9" s="114" t="s">
        <v>177</v>
      </c>
      <c r="E9" s="70">
        <f>I71*3</f>
        <v>664136973.23749995</v>
      </c>
      <c r="F9" s="70">
        <f>H71</f>
        <v>2656547892.9499998</v>
      </c>
      <c r="G9" s="70">
        <f>H71</f>
        <v>2656547892.9499998</v>
      </c>
      <c r="H9" s="70">
        <f t="shared" ref="H9:X9" si="3">G9</f>
        <v>2656547892.9499998</v>
      </c>
      <c r="I9" s="70">
        <f t="shared" si="3"/>
        <v>2656547892.9499998</v>
      </c>
      <c r="J9" s="70">
        <f t="shared" si="3"/>
        <v>2656547892.9499998</v>
      </c>
      <c r="K9" s="70">
        <f t="shared" si="3"/>
        <v>2656547892.9499998</v>
      </c>
      <c r="L9" s="70">
        <f t="shared" si="3"/>
        <v>2656547892.9499998</v>
      </c>
      <c r="M9" s="70">
        <f t="shared" si="3"/>
        <v>2656547892.9499998</v>
      </c>
      <c r="N9" s="70">
        <f t="shared" si="3"/>
        <v>2656547892.9499998</v>
      </c>
      <c r="O9" s="70">
        <f t="shared" si="3"/>
        <v>2656547892.9499998</v>
      </c>
      <c r="P9" s="70">
        <f t="shared" si="3"/>
        <v>2656547892.9499998</v>
      </c>
      <c r="Q9" s="70">
        <f t="shared" si="3"/>
        <v>2656547892.9499998</v>
      </c>
      <c r="R9" s="70">
        <f t="shared" si="3"/>
        <v>2656547892.9499998</v>
      </c>
      <c r="S9" s="70">
        <f t="shared" si="3"/>
        <v>2656547892.9499998</v>
      </c>
      <c r="T9" s="70">
        <f t="shared" si="3"/>
        <v>2656547892.9499998</v>
      </c>
      <c r="U9" s="70">
        <f t="shared" si="3"/>
        <v>2656547892.9499998</v>
      </c>
      <c r="V9" s="70">
        <f t="shared" si="3"/>
        <v>2656547892.9499998</v>
      </c>
      <c r="W9" s="70">
        <f t="shared" si="3"/>
        <v>2656547892.9499998</v>
      </c>
      <c r="X9" s="70">
        <f t="shared" si="3"/>
        <v>2656547892.9499998</v>
      </c>
      <c r="Y9" s="70">
        <f>SUM(E9:X9)</f>
        <v>51138546939.287483</v>
      </c>
    </row>
    <row r="10" spans="1:26" s="40" customFormat="1" ht="24.75" customHeight="1" x14ac:dyDescent="0.25">
      <c r="A10" s="37"/>
      <c r="B10" s="64" t="s">
        <v>33</v>
      </c>
      <c r="C10" s="64"/>
      <c r="D10" s="64"/>
      <c r="E10" s="72">
        <f>E8+E9</f>
        <v>1180628211.9875</v>
      </c>
      <c r="F10" s="72">
        <f t="shared" ref="F10:X10" si="4">F8+F9</f>
        <v>13207564847.949997</v>
      </c>
      <c r="G10" s="72">
        <f t="shared" si="4"/>
        <v>13207564847.949997</v>
      </c>
      <c r="H10" s="72">
        <f t="shared" si="4"/>
        <v>13207564847.949997</v>
      </c>
      <c r="I10" s="72">
        <f t="shared" si="4"/>
        <v>13207564847.949997</v>
      </c>
      <c r="J10" s="72">
        <f t="shared" si="4"/>
        <v>13207564847.949997</v>
      </c>
      <c r="K10" s="72">
        <f t="shared" si="4"/>
        <v>4722512847.9499998</v>
      </c>
      <c r="L10" s="72">
        <f t="shared" si="4"/>
        <v>4722512847.9499998</v>
      </c>
      <c r="M10" s="72">
        <f t="shared" si="4"/>
        <v>4722512847.9499998</v>
      </c>
      <c r="N10" s="72">
        <f t="shared" si="4"/>
        <v>4722512847.9499998</v>
      </c>
      <c r="O10" s="72">
        <f t="shared" si="4"/>
        <v>4722512847.9499998</v>
      </c>
      <c r="P10" s="72">
        <f t="shared" si="4"/>
        <v>4722512847.9499998</v>
      </c>
      <c r="Q10" s="72">
        <f t="shared" si="4"/>
        <v>4722512847.9499998</v>
      </c>
      <c r="R10" s="72">
        <f t="shared" si="4"/>
        <v>4722512847.9499998</v>
      </c>
      <c r="S10" s="72">
        <f t="shared" si="4"/>
        <v>4722512847.9499998</v>
      </c>
      <c r="T10" s="72">
        <f t="shared" si="4"/>
        <v>4722512847.9499998</v>
      </c>
      <c r="U10" s="72">
        <f t="shared" si="4"/>
        <v>4722512847.9499998</v>
      </c>
      <c r="V10" s="72">
        <f t="shared" si="4"/>
        <v>4722512847.9499998</v>
      </c>
      <c r="W10" s="72">
        <f t="shared" si="4"/>
        <v>4722512847.9499998</v>
      </c>
      <c r="X10" s="72">
        <f t="shared" si="4"/>
        <v>4722512847.9499998</v>
      </c>
      <c r="Y10" s="72">
        <f>Y8+Y9</f>
        <v>133333632323.03748</v>
      </c>
    </row>
    <row r="11" spans="1:26" s="76" customFormat="1" ht="24.75" customHeight="1" x14ac:dyDescent="0.25">
      <c r="A11" s="38"/>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38" customFormat="1" ht="14.45" customHeight="1" x14ac:dyDescent="0.25">
      <c r="B13" s="717" t="str">
        <f>B8</f>
        <v>1.1. Aumento de la participación del maíz nacional en el mercado de consumo animal.</v>
      </c>
      <c r="C13" s="718"/>
      <c r="D13" s="718"/>
      <c r="E13" s="718"/>
      <c r="F13" s="718"/>
      <c r="G13" s="718"/>
      <c r="H13" s="718"/>
      <c r="I13" s="77"/>
      <c r="X13" s="78"/>
    </row>
    <row r="14" spans="1:26" s="38" customFormat="1" ht="14.45" customHeight="1" x14ac:dyDescent="0.25">
      <c r="B14" s="719"/>
      <c r="C14" s="719"/>
      <c r="D14" s="719"/>
      <c r="E14" s="719"/>
      <c r="F14" s="719"/>
      <c r="G14" s="719"/>
      <c r="H14" s="719"/>
      <c r="I14" s="77"/>
      <c r="X14" s="78"/>
    </row>
    <row r="15" spans="1:26" ht="15" x14ac:dyDescent="0.25">
      <c r="B15" s="79" t="s">
        <v>79</v>
      </c>
      <c r="C15" s="79" t="s">
        <v>59</v>
      </c>
      <c r="D15" s="79" t="s">
        <v>56</v>
      </c>
      <c r="E15" s="79" t="s">
        <v>55</v>
      </c>
      <c r="F15" s="80" t="s">
        <v>108</v>
      </c>
      <c r="G15" s="79" t="s">
        <v>81</v>
      </c>
      <c r="H15" s="79" t="s">
        <v>82</v>
      </c>
      <c r="I15" s="102"/>
      <c r="X15" s="81"/>
    </row>
    <row r="16" spans="1:26" x14ac:dyDescent="0.2">
      <c r="B16" s="39" t="s">
        <v>83</v>
      </c>
      <c r="C16" s="39">
        <v>6</v>
      </c>
      <c r="D16" s="39" t="s">
        <v>84</v>
      </c>
      <c r="E16" s="45">
        <v>500000</v>
      </c>
      <c r="F16" s="39"/>
      <c r="G16" s="39"/>
      <c r="H16" s="82">
        <f>C16*E16</f>
        <v>3000000</v>
      </c>
      <c r="I16" s="53"/>
    </row>
    <row r="17" spans="2:10" x14ac:dyDescent="0.2">
      <c r="B17" s="39" t="s">
        <v>85</v>
      </c>
      <c r="C17" s="39">
        <v>6</v>
      </c>
      <c r="D17" s="39" t="s">
        <v>84</v>
      </c>
      <c r="E17" s="45">
        <v>100000</v>
      </c>
      <c r="F17" s="39"/>
      <c r="G17" s="39"/>
      <c r="H17" s="82">
        <f t="shared" ref="H17:H25" si="5">C17*E17</f>
        <v>600000</v>
      </c>
      <c r="I17" s="53"/>
    </row>
    <row r="18" spans="2:10" x14ac:dyDescent="0.2">
      <c r="B18" s="39" t="s">
        <v>109</v>
      </c>
      <c r="C18" s="39">
        <v>1</v>
      </c>
      <c r="D18" s="39" t="s">
        <v>159</v>
      </c>
      <c r="E18" s="45">
        <v>11154675.000000002</v>
      </c>
      <c r="F18" s="39"/>
      <c r="G18" s="39"/>
      <c r="H18" s="82">
        <f>C18*E18</f>
        <v>11154675.000000002</v>
      </c>
      <c r="I18" s="379"/>
      <c r="J18" s="38"/>
    </row>
    <row r="19" spans="2:10" x14ac:dyDescent="0.2">
      <c r="B19" s="39" t="s">
        <v>102</v>
      </c>
      <c r="C19" s="39">
        <v>20</v>
      </c>
      <c r="D19" s="39" t="s">
        <v>84</v>
      </c>
      <c r="E19" s="45">
        <v>2300000</v>
      </c>
      <c r="F19" s="39"/>
      <c r="G19" s="39"/>
      <c r="H19" s="82">
        <f t="shared" si="5"/>
        <v>46000000</v>
      </c>
      <c r="I19" s="53"/>
    </row>
    <row r="20" spans="2:10" x14ac:dyDescent="0.2">
      <c r="B20" s="39" t="s">
        <v>103</v>
      </c>
      <c r="C20" s="39">
        <v>20</v>
      </c>
      <c r="D20" s="39" t="s">
        <v>84</v>
      </c>
      <c r="E20" s="45">
        <v>460000</v>
      </c>
      <c r="F20" s="39"/>
      <c r="G20" s="39"/>
      <c r="H20" s="82">
        <f t="shared" si="5"/>
        <v>9200000</v>
      </c>
      <c r="I20" s="53"/>
    </row>
    <row r="21" spans="2:10" x14ac:dyDescent="0.2">
      <c r="B21" s="39" t="s">
        <v>104</v>
      </c>
      <c r="C21" s="39">
        <f>4*3</f>
        <v>12</v>
      </c>
      <c r="D21" s="39" t="s">
        <v>84</v>
      </c>
      <c r="E21" s="83">
        <v>3270000</v>
      </c>
      <c r="F21" s="39"/>
      <c r="G21" s="39"/>
      <c r="H21" s="82">
        <f t="shared" si="5"/>
        <v>39240000</v>
      </c>
      <c r="I21" s="53"/>
    </row>
    <row r="22" spans="2:10" x14ac:dyDescent="0.2">
      <c r="B22" s="39" t="s">
        <v>251</v>
      </c>
      <c r="C22" s="39">
        <v>10</v>
      </c>
      <c r="D22" s="39" t="s">
        <v>106</v>
      </c>
      <c r="E22" s="45">
        <v>20000000</v>
      </c>
      <c r="F22" s="39"/>
      <c r="G22" s="39"/>
      <c r="H22" s="82">
        <f>C22*E22</f>
        <v>200000000</v>
      </c>
      <c r="I22" s="138"/>
      <c r="J22" s="38"/>
    </row>
    <row r="23" spans="2:10" x14ac:dyDescent="0.2">
      <c r="B23" s="39" t="s">
        <v>281</v>
      </c>
      <c r="C23" s="39">
        <v>10</v>
      </c>
      <c r="D23" s="39" t="s">
        <v>111</v>
      </c>
      <c r="E23" s="45">
        <v>52200000</v>
      </c>
      <c r="F23" s="39"/>
      <c r="G23" s="39"/>
      <c r="H23" s="82">
        <f>C23*E23</f>
        <v>522000000</v>
      </c>
      <c r="I23" s="138"/>
      <c r="J23" s="38"/>
    </row>
    <row r="24" spans="2:10" x14ac:dyDescent="0.2">
      <c r="B24" s="105" t="s">
        <v>87</v>
      </c>
      <c r="C24" s="105">
        <v>10</v>
      </c>
      <c r="D24" s="105" t="s">
        <v>76</v>
      </c>
      <c r="E24" s="95">
        <v>6000000</v>
      </c>
      <c r="F24" s="105"/>
      <c r="G24" s="105"/>
      <c r="H24" s="82">
        <f t="shared" si="5"/>
        <v>60000000</v>
      </c>
      <c r="I24" s="53"/>
    </row>
    <row r="25" spans="2:10" x14ac:dyDescent="0.2">
      <c r="B25" s="105" t="s">
        <v>88</v>
      </c>
      <c r="C25" s="105">
        <v>10</v>
      </c>
      <c r="D25" s="105" t="s">
        <v>76</v>
      </c>
      <c r="E25" s="95">
        <v>1800000</v>
      </c>
      <c r="F25" s="105"/>
      <c r="G25" s="105"/>
      <c r="H25" s="82">
        <f t="shared" si="5"/>
        <v>18000000</v>
      </c>
      <c r="I25" s="53"/>
    </row>
    <row r="26" spans="2:10" x14ac:dyDescent="0.2">
      <c r="B26" s="105" t="s">
        <v>115</v>
      </c>
      <c r="C26" s="105">
        <v>4</v>
      </c>
      <c r="D26" s="105" t="s">
        <v>84</v>
      </c>
      <c r="E26" s="95">
        <v>142800000</v>
      </c>
      <c r="F26" s="105"/>
      <c r="G26" s="105"/>
      <c r="H26" s="82">
        <f>C26*E26</f>
        <v>571200000</v>
      </c>
      <c r="I26" s="53"/>
    </row>
    <row r="27" spans="2:10" x14ac:dyDescent="0.2">
      <c r="B27" s="105" t="s">
        <v>427</v>
      </c>
      <c r="C27" s="105">
        <f>100*10</f>
        <v>1000</v>
      </c>
      <c r="D27" s="105" t="s">
        <v>107</v>
      </c>
      <c r="E27" s="95">
        <v>182000</v>
      </c>
      <c r="F27" s="209">
        <v>0.5</v>
      </c>
      <c r="G27" s="105"/>
      <c r="H27" s="82">
        <f>C27*E27*F27</f>
        <v>91000000</v>
      </c>
      <c r="I27" s="53"/>
    </row>
    <row r="28" spans="2:10" s="102" customFormat="1" x14ac:dyDescent="0.2">
      <c r="B28" s="105" t="s">
        <v>89</v>
      </c>
      <c r="C28" s="105">
        <f>4*10</f>
        <v>40</v>
      </c>
      <c r="D28" s="105" t="s">
        <v>158</v>
      </c>
      <c r="E28" s="95">
        <v>450000</v>
      </c>
      <c r="F28" s="209"/>
      <c r="G28" s="105"/>
      <c r="H28" s="82">
        <f>C28*E28</f>
        <v>18000000</v>
      </c>
      <c r="I28" s="53"/>
    </row>
    <row r="29" spans="2:10" x14ac:dyDescent="0.2">
      <c r="B29" s="105" t="s">
        <v>105</v>
      </c>
      <c r="C29" s="105">
        <v>8</v>
      </c>
      <c r="D29" s="105" t="s">
        <v>112</v>
      </c>
      <c r="E29" s="82">
        <v>18000000</v>
      </c>
      <c r="F29" s="105"/>
      <c r="G29" s="105"/>
      <c r="H29" s="82">
        <f t="shared" ref="H29:H30" si="6">C29*E29</f>
        <v>144000000</v>
      </c>
      <c r="I29" s="138"/>
      <c r="J29" s="38"/>
    </row>
    <row r="30" spans="2:10" s="102" customFormat="1" x14ac:dyDescent="0.2">
      <c r="B30" s="105" t="s">
        <v>215</v>
      </c>
      <c r="C30" s="55">
        <v>223880</v>
      </c>
      <c r="D30" s="105" t="s">
        <v>428</v>
      </c>
      <c r="E30" s="82">
        <v>37899.999999999993</v>
      </c>
      <c r="F30" s="105"/>
      <c r="G30" s="105"/>
      <c r="H30" s="82">
        <f t="shared" si="6"/>
        <v>8485051999.9999981</v>
      </c>
      <c r="I30" s="379"/>
      <c r="J30" s="103"/>
    </row>
    <row r="31" spans="2:10" x14ac:dyDescent="0.2">
      <c r="B31" s="105" t="s">
        <v>90</v>
      </c>
      <c r="C31" s="105">
        <v>5</v>
      </c>
      <c r="D31" s="105" t="s">
        <v>160</v>
      </c>
      <c r="E31" s="82">
        <v>7862772</v>
      </c>
      <c r="F31" s="209">
        <v>0.5</v>
      </c>
      <c r="G31" s="105">
        <v>12</v>
      </c>
      <c r="H31" s="82">
        <f>C31*E31*G31*F31</f>
        <v>235883160</v>
      </c>
      <c r="I31" s="53"/>
    </row>
    <row r="32" spans="2:10" x14ac:dyDescent="0.2">
      <c r="B32" s="105" t="s">
        <v>91</v>
      </c>
      <c r="C32" s="105">
        <v>8</v>
      </c>
      <c r="D32" s="105" t="s">
        <v>172</v>
      </c>
      <c r="E32" s="82">
        <v>1313122</v>
      </c>
      <c r="F32" s="105"/>
      <c r="G32" s="105"/>
      <c r="H32" s="82">
        <f>C32*E32</f>
        <v>10504976</v>
      </c>
      <c r="I32" s="53"/>
    </row>
    <row r="33" spans="1:10" s="102" customFormat="1" x14ac:dyDescent="0.2">
      <c r="B33" s="105" t="s">
        <v>173</v>
      </c>
      <c r="C33" s="105">
        <v>4</v>
      </c>
      <c r="D33" s="105" t="s">
        <v>114</v>
      </c>
      <c r="E33" s="82">
        <v>3931384</v>
      </c>
      <c r="F33" s="209">
        <v>0.5</v>
      </c>
      <c r="G33" s="105">
        <v>8</v>
      </c>
      <c r="H33" s="82">
        <f>C33*E33*G33*F33</f>
        <v>62902144</v>
      </c>
      <c r="I33" s="53"/>
    </row>
    <row r="34" spans="1:10" s="102" customFormat="1" x14ac:dyDescent="0.2">
      <c r="B34" s="105" t="s">
        <v>57</v>
      </c>
      <c r="C34" s="105">
        <v>4</v>
      </c>
      <c r="D34" s="105" t="s">
        <v>84</v>
      </c>
      <c r="E34" s="82">
        <v>1300000</v>
      </c>
      <c r="F34" s="209">
        <v>0.5</v>
      </c>
      <c r="G34" s="105">
        <v>8</v>
      </c>
      <c r="H34" s="82">
        <f>C34*E34*G34*F34</f>
        <v>20800000</v>
      </c>
      <c r="I34" s="53"/>
    </row>
    <row r="35" spans="1:10" s="102" customFormat="1" x14ac:dyDescent="0.2">
      <c r="B35" s="105" t="s">
        <v>194</v>
      </c>
      <c r="C35" s="105">
        <v>4</v>
      </c>
      <c r="D35" s="105" t="s">
        <v>84</v>
      </c>
      <c r="E35" s="82">
        <v>155000</v>
      </c>
      <c r="F35" s="209">
        <v>0.5</v>
      </c>
      <c r="G35" s="105">
        <v>8</v>
      </c>
      <c r="H35" s="82">
        <f>C35*E35*G35*F35</f>
        <v>2480000</v>
      </c>
      <c r="I35" s="53"/>
    </row>
    <row r="36" spans="1:10" ht="15" x14ac:dyDescent="0.25">
      <c r="B36" s="105" t="s">
        <v>110</v>
      </c>
      <c r="C36" s="105"/>
      <c r="D36" s="105"/>
      <c r="E36" s="105"/>
      <c r="F36" s="105"/>
      <c r="G36" s="105"/>
      <c r="H36" s="82" t="s">
        <v>78</v>
      </c>
      <c r="I36" s="380" t="s">
        <v>174</v>
      </c>
      <c r="J36" s="38"/>
    </row>
    <row r="37" spans="1:10" ht="15" x14ac:dyDescent="0.25">
      <c r="B37" s="86" t="s">
        <v>33</v>
      </c>
      <c r="C37" s="87"/>
      <c r="D37" s="87"/>
      <c r="E37" s="87"/>
      <c r="F37" s="88"/>
      <c r="G37" s="88"/>
      <c r="H37" s="115">
        <f>SUM(H16:H36)-H30</f>
        <v>2065964955</v>
      </c>
      <c r="I37" s="381">
        <f>H37/12</f>
        <v>172163746.25</v>
      </c>
      <c r="J37" s="38"/>
    </row>
    <row r="38" spans="1:10" s="102" customFormat="1" ht="15" x14ac:dyDescent="0.25">
      <c r="B38" s="86" t="s">
        <v>218</v>
      </c>
      <c r="C38" s="87"/>
      <c r="D38" s="87"/>
      <c r="E38" s="87"/>
      <c r="F38" s="88"/>
      <c r="G38" s="88"/>
      <c r="H38" s="115">
        <f>SUM(H16:H36)</f>
        <v>10551016954.999998</v>
      </c>
      <c r="I38" s="382"/>
      <c r="J38" s="103"/>
    </row>
    <row r="39" spans="1:10" s="107" customFormat="1" x14ac:dyDescent="0.2">
      <c r="B39" s="135"/>
      <c r="C39" s="135"/>
      <c r="D39" s="135"/>
      <c r="E39" s="135"/>
      <c r="F39" s="135"/>
      <c r="G39" s="135"/>
      <c r="H39" s="135"/>
      <c r="I39" s="136"/>
      <c r="J39" s="136"/>
    </row>
    <row r="40" spans="1:10" s="136" customFormat="1" ht="372.95" customHeight="1" x14ac:dyDescent="0.2">
      <c r="B40" s="164" t="s">
        <v>445</v>
      </c>
      <c r="C40" s="135"/>
      <c r="D40" s="135"/>
      <c r="E40" s="135"/>
      <c r="F40" s="135"/>
      <c r="G40" s="135"/>
      <c r="H40" s="135"/>
    </row>
    <row r="41" spans="1:10" ht="15" x14ac:dyDescent="0.25">
      <c r="B41" s="56"/>
      <c r="C41" s="56"/>
      <c r="D41" s="56"/>
      <c r="E41" s="56"/>
      <c r="F41" s="56"/>
      <c r="G41" s="56"/>
      <c r="H41" s="56"/>
      <c r="I41" s="91"/>
    </row>
    <row r="42" spans="1:10" s="38" customFormat="1" ht="14.45" customHeight="1" x14ac:dyDescent="0.25">
      <c r="A42" s="92"/>
      <c r="B42" s="717" t="str">
        <f>B9</f>
        <v>1.2. Posicionamiento de la oferta del maíz nacional y sus derivados, para  alimentación humana y otros usos.</v>
      </c>
      <c r="C42" s="718"/>
      <c r="D42" s="718"/>
      <c r="E42" s="718"/>
      <c r="F42" s="718"/>
      <c r="G42" s="718"/>
      <c r="H42" s="718"/>
    </row>
    <row r="43" spans="1:10" hidden="1" x14ac:dyDescent="0.2">
      <c r="B43" s="56"/>
      <c r="C43" s="56"/>
      <c r="D43" s="56"/>
      <c r="E43" s="56"/>
      <c r="F43" s="56"/>
      <c r="G43" s="56"/>
      <c r="H43" s="56"/>
    </row>
    <row r="44" spans="1:10" ht="15" x14ac:dyDescent="0.25">
      <c r="B44" s="79" t="s">
        <v>79</v>
      </c>
      <c r="C44" s="79" t="s">
        <v>59</v>
      </c>
      <c r="D44" s="79" t="s">
        <v>56</v>
      </c>
      <c r="E44" s="79" t="s">
        <v>55</v>
      </c>
      <c r="F44" s="79" t="s">
        <v>80</v>
      </c>
      <c r="G44" s="79" t="s">
        <v>81</v>
      </c>
      <c r="H44" s="79" t="s">
        <v>82</v>
      </c>
    </row>
    <row r="45" spans="1:10" s="38" customFormat="1" x14ac:dyDescent="0.2">
      <c r="A45" s="93"/>
      <c r="B45" s="39" t="s">
        <v>83</v>
      </c>
      <c r="C45" s="39">
        <v>6</v>
      </c>
      <c r="D45" s="39" t="s">
        <v>84</v>
      </c>
      <c r="E45" s="45">
        <v>500000</v>
      </c>
      <c r="F45" s="39"/>
      <c r="G45" s="39"/>
      <c r="H45" s="82">
        <f>C45*E45</f>
        <v>3000000</v>
      </c>
      <c r="I45" s="44"/>
      <c r="J45" s="138"/>
    </row>
    <row r="46" spans="1:10" s="38" customFormat="1" x14ac:dyDescent="0.2">
      <c r="B46" s="39" t="s">
        <v>85</v>
      </c>
      <c r="C46" s="39">
        <v>6</v>
      </c>
      <c r="D46" s="39" t="s">
        <v>84</v>
      </c>
      <c r="E46" s="45">
        <v>100000</v>
      </c>
      <c r="F46" s="39"/>
      <c r="G46" s="39"/>
      <c r="H46" s="82">
        <f t="shared" ref="H46:H64" si="7">C46*E46</f>
        <v>600000</v>
      </c>
      <c r="I46" s="44"/>
      <c r="J46" s="138"/>
    </row>
    <row r="47" spans="1:10" s="103" customFormat="1" x14ac:dyDescent="0.2">
      <c r="B47" s="104" t="s">
        <v>164</v>
      </c>
      <c r="C47" s="104">
        <v>1</v>
      </c>
      <c r="D47" s="104" t="s">
        <v>159</v>
      </c>
      <c r="E47" s="45">
        <v>11154675.000000002</v>
      </c>
      <c r="F47" s="104"/>
      <c r="G47" s="104"/>
      <c r="H47" s="82">
        <f t="shared" si="7"/>
        <v>11154675.000000002</v>
      </c>
      <c r="I47" s="44"/>
      <c r="J47" s="138"/>
    </row>
    <row r="48" spans="1:10" s="102" customFormat="1" x14ac:dyDescent="0.2">
      <c r="B48" s="104" t="s">
        <v>216</v>
      </c>
      <c r="C48" s="104">
        <v>2</v>
      </c>
      <c r="D48" s="104" t="s">
        <v>84</v>
      </c>
      <c r="E48" s="45">
        <v>3500000</v>
      </c>
      <c r="F48" s="104"/>
      <c r="G48" s="104"/>
      <c r="H48" s="82">
        <f t="shared" si="7"/>
        <v>7000000</v>
      </c>
      <c r="I48" s="101"/>
      <c r="J48" s="138"/>
    </row>
    <row r="49" spans="1:10" s="102" customFormat="1" x14ac:dyDescent="0.2">
      <c r="B49" s="104" t="s">
        <v>86</v>
      </c>
      <c r="C49" s="104">
        <v>2</v>
      </c>
      <c r="D49" s="104" t="s">
        <v>113</v>
      </c>
      <c r="E49" s="45">
        <v>4227315</v>
      </c>
      <c r="F49" s="104"/>
      <c r="G49" s="104"/>
      <c r="H49" s="82">
        <f t="shared" si="7"/>
        <v>8454630</v>
      </c>
      <c r="I49" s="101"/>
      <c r="J49" s="138"/>
    </row>
    <row r="50" spans="1:10" s="102" customFormat="1" x14ac:dyDescent="0.2">
      <c r="B50" s="104" t="s">
        <v>283</v>
      </c>
      <c r="C50" s="104">
        <v>10</v>
      </c>
      <c r="D50" s="104" t="s">
        <v>425</v>
      </c>
      <c r="E50" s="45">
        <v>8954882.5200000014</v>
      </c>
      <c r="F50" s="104"/>
      <c r="G50" s="104"/>
      <c r="H50" s="82">
        <f t="shared" si="7"/>
        <v>89548825.200000018</v>
      </c>
      <c r="I50" s="101"/>
      <c r="J50" s="138"/>
    </row>
    <row r="51" spans="1:10" s="102" customFormat="1" x14ac:dyDescent="0.2">
      <c r="B51" s="104" t="s">
        <v>284</v>
      </c>
      <c r="C51" s="104">
        <v>5</v>
      </c>
      <c r="D51" s="104" t="s">
        <v>425</v>
      </c>
      <c r="E51" s="45">
        <v>19476574.949999999</v>
      </c>
      <c r="F51" s="104"/>
      <c r="G51" s="104"/>
      <c r="H51" s="82">
        <f t="shared" si="7"/>
        <v>97382874.75</v>
      </c>
      <c r="I51" s="101"/>
      <c r="J51" s="138"/>
    </row>
    <row r="52" spans="1:10" s="38" customFormat="1" x14ac:dyDescent="0.2">
      <c r="A52" s="93"/>
      <c r="B52" s="39" t="s">
        <v>161</v>
      </c>
      <c r="C52" s="41">
        <f>2*10</f>
        <v>20</v>
      </c>
      <c r="D52" s="39" t="s">
        <v>84</v>
      </c>
      <c r="E52" s="45">
        <v>2300000</v>
      </c>
      <c r="F52" s="39"/>
      <c r="G52" s="39"/>
      <c r="H52" s="82">
        <f t="shared" si="7"/>
        <v>46000000</v>
      </c>
      <c r="I52" s="84"/>
      <c r="J52" s="138"/>
    </row>
    <row r="53" spans="1:10" s="38" customFormat="1" x14ac:dyDescent="0.2">
      <c r="A53" s="93"/>
      <c r="B53" s="39" t="s">
        <v>162</v>
      </c>
      <c r="C53" s="41">
        <f>2*10</f>
        <v>20</v>
      </c>
      <c r="D53" s="39" t="s">
        <v>84</v>
      </c>
      <c r="E53" s="45">
        <v>460000</v>
      </c>
      <c r="F53" s="39"/>
      <c r="G53" s="39"/>
      <c r="H53" s="82">
        <f t="shared" si="7"/>
        <v>9200000</v>
      </c>
      <c r="I53" s="85"/>
      <c r="J53" s="138"/>
    </row>
    <row r="54" spans="1:10" s="38" customFormat="1" x14ac:dyDescent="0.2">
      <c r="B54" s="39" t="s">
        <v>163</v>
      </c>
      <c r="C54" s="41">
        <v>8</v>
      </c>
      <c r="D54" s="38" t="s">
        <v>167</v>
      </c>
      <c r="E54" s="45">
        <v>18000000</v>
      </c>
      <c r="F54" s="39"/>
      <c r="G54" s="39"/>
      <c r="H54" s="82">
        <f t="shared" si="7"/>
        <v>144000000</v>
      </c>
      <c r="I54" s="84"/>
      <c r="J54" s="138"/>
    </row>
    <row r="55" spans="1:10" x14ac:dyDescent="0.2">
      <c r="B55" s="48" t="s">
        <v>251</v>
      </c>
      <c r="C55" s="41">
        <v>8</v>
      </c>
      <c r="D55" s="39" t="s">
        <v>76</v>
      </c>
      <c r="E55" s="83">
        <v>52200000</v>
      </c>
      <c r="F55" s="39"/>
      <c r="G55" s="39"/>
      <c r="H55" s="82">
        <f t="shared" si="7"/>
        <v>417600000</v>
      </c>
      <c r="I55" s="44"/>
      <c r="J55" s="53"/>
    </row>
    <row r="56" spans="1:10" s="102" customFormat="1" x14ac:dyDescent="0.2">
      <c r="B56" s="48" t="s">
        <v>281</v>
      </c>
      <c r="C56" s="105">
        <v>8</v>
      </c>
      <c r="D56" s="39" t="s">
        <v>166</v>
      </c>
      <c r="E56" s="109">
        <v>20000000</v>
      </c>
      <c r="F56" s="104"/>
      <c r="G56" s="104"/>
      <c r="H56" s="82">
        <f t="shared" si="7"/>
        <v>160000000</v>
      </c>
      <c r="I56" s="44"/>
      <c r="J56" s="53"/>
    </row>
    <row r="57" spans="1:10" x14ac:dyDescent="0.2">
      <c r="B57" s="39" t="s">
        <v>168</v>
      </c>
      <c r="C57" s="39">
        <v>4</v>
      </c>
      <c r="D57" s="39" t="s">
        <v>425</v>
      </c>
      <c r="E57" s="83">
        <v>43000000</v>
      </c>
      <c r="F57" s="94"/>
      <c r="G57" s="39"/>
      <c r="H57" s="82">
        <f t="shared" si="7"/>
        <v>172000000</v>
      </c>
      <c r="I57" s="44"/>
      <c r="J57" s="53"/>
    </row>
    <row r="58" spans="1:10" s="102" customFormat="1" x14ac:dyDescent="0.2">
      <c r="B58" s="104" t="s">
        <v>93</v>
      </c>
      <c r="C58" s="104">
        <v>1</v>
      </c>
      <c r="D58" s="104" t="s">
        <v>84</v>
      </c>
      <c r="E58" s="109">
        <v>217000000</v>
      </c>
      <c r="F58" s="94"/>
      <c r="G58" s="104"/>
      <c r="H58" s="82">
        <f t="shared" si="7"/>
        <v>217000000</v>
      </c>
      <c r="I58" s="44"/>
      <c r="J58" s="53"/>
    </row>
    <row r="59" spans="1:10" s="102" customFormat="1" x14ac:dyDescent="0.2">
      <c r="B59" s="104" t="s">
        <v>169</v>
      </c>
      <c r="C59" s="104">
        <v>4</v>
      </c>
      <c r="D59" s="104" t="s">
        <v>84</v>
      </c>
      <c r="E59" s="109">
        <v>125500000</v>
      </c>
      <c r="F59" s="94"/>
      <c r="G59" s="104"/>
      <c r="H59" s="82">
        <f t="shared" si="7"/>
        <v>502000000</v>
      </c>
      <c r="I59" s="44"/>
      <c r="J59" s="53"/>
    </row>
    <row r="60" spans="1:10" x14ac:dyDescent="0.2">
      <c r="B60" s="96" t="s">
        <v>92</v>
      </c>
      <c r="C60" s="39">
        <f>4*2</f>
        <v>8</v>
      </c>
      <c r="D60" s="39" t="s">
        <v>84</v>
      </c>
      <c r="E60" s="83">
        <v>1500000</v>
      </c>
      <c r="F60" s="97"/>
      <c r="G60" s="39"/>
      <c r="H60" s="82">
        <f t="shared" si="7"/>
        <v>12000000</v>
      </c>
      <c r="I60" s="44"/>
      <c r="J60" s="53"/>
    </row>
    <row r="61" spans="1:10" x14ac:dyDescent="0.2">
      <c r="B61" s="96" t="s">
        <v>62</v>
      </c>
      <c r="C61" s="39">
        <v>2</v>
      </c>
      <c r="D61" s="39" t="s">
        <v>84</v>
      </c>
      <c r="E61" s="83">
        <v>5000000</v>
      </c>
      <c r="F61" s="97"/>
      <c r="G61" s="39"/>
      <c r="H61" s="82">
        <f t="shared" si="7"/>
        <v>10000000</v>
      </c>
      <c r="I61" s="44"/>
      <c r="J61" s="53"/>
    </row>
    <row r="62" spans="1:10" x14ac:dyDescent="0.2">
      <c r="B62" s="96" t="s">
        <v>170</v>
      </c>
      <c r="C62" s="39">
        <f>2*10</f>
        <v>20</v>
      </c>
      <c r="D62" s="39" t="s">
        <v>84</v>
      </c>
      <c r="E62" s="83">
        <v>14500000</v>
      </c>
      <c r="F62" s="97"/>
      <c r="G62" s="39"/>
      <c r="H62" s="82">
        <f t="shared" si="7"/>
        <v>290000000</v>
      </c>
      <c r="I62" s="44"/>
      <c r="J62" s="53"/>
    </row>
    <row r="63" spans="1:10" x14ac:dyDescent="0.2">
      <c r="B63" s="57" t="s">
        <v>171</v>
      </c>
      <c r="C63" s="39">
        <f>2*4</f>
        <v>8</v>
      </c>
      <c r="D63" s="39" t="s">
        <v>76</v>
      </c>
      <c r="E63" s="83">
        <v>6000000</v>
      </c>
      <c r="F63" s="98"/>
      <c r="G63" s="39"/>
      <c r="H63" s="82">
        <f t="shared" si="7"/>
        <v>48000000</v>
      </c>
      <c r="I63" s="44"/>
      <c r="J63" s="53"/>
    </row>
    <row r="64" spans="1:10" x14ac:dyDescent="0.2">
      <c r="B64" s="57" t="s">
        <v>88</v>
      </c>
      <c r="C64" s="39">
        <f>2*4</f>
        <v>8</v>
      </c>
      <c r="D64" s="39" t="s">
        <v>76</v>
      </c>
      <c r="E64" s="83">
        <v>1800000</v>
      </c>
      <c r="F64" s="98"/>
      <c r="G64" s="39"/>
      <c r="H64" s="95">
        <f t="shared" si="7"/>
        <v>14400000</v>
      </c>
      <c r="I64" s="44"/>
      <c r="J64" s="53"/>
    </row>
    <row r="65" spans="2:10" x14ac:dyDescent="0.2">
      <c r="B65" s="39" t="s">
        <v>90</v>
      </c>
      <c r="C65" s="39">
        <v>5</v>
      </c>
      <c r="D65" s="39" t="s">
        <v>160</v>
      </c>
      <c r="E65" s="45">
        <v>7862772</v>
      </c>
      <c r="F65" s="98">
        <v>0.5</v>
      </c>
      <c r="G65" s="39">
        <v>12</v>
      </c>
      <c r="H65" s="43">
        <f>C65*E65*G65*F65</f>
        <v>235883160</v>
      </c>
      <c r="I65" s="44"/>
      <c r="J65" s="53"/>
    </row>
    <row r="66" spans="2:10" x14ac:dyDescent="0.2">
      <c r="B66" s="39" t="s">
        <v>91</v>
      </c>
      <c r="C66" s="39">
        <v>8</v>
      </c>
      <c r="D66" s="39" t="s">
        <v>172</v>
      </c>
      <c r="E66" s="45">
        <v>1313122</v>
      </c>
      <c r="F66" s="39"/>
      <c r="G66" s="39"/>
      <c r="H66" s="43">
        <f>C66*E66</f>
        <v>10504976</v>
      </c>
      <c r="I66" s="44"/>
      <c r="J66" s="53"/>
    </row>
    <row r="67" spans="2:10" s="102" customFormat="1" x14ac:dyDescent="0.2">
      <c r="B67" s="104" t="s">
        <v>173</v>
      </c>
      <c r="C67" s="104">
        <v>7</v>
      </c>
      <c r="D67" s="104" t="s">
        <v>160</v>
      </c>
      <c r="E67" s="45">
        <v>3931384</v>
      </c>
      <c r="F67" s="98">
        <v>0.5</v>
      </c>
      <c r="G67" s="104">
        <v>8</v>
      </c>
      <c r="H67" s="43">
        <f>C67*E67*G67*F67</f>
        <v>110078752</v>
      </c>
      <c r="I67" s="44"/>
      <c r="J67" s="53"/>
    </row>
    <row r="68" spans="2:10" s="102" customFormat="1" x14ac:dyDescent="0.2">
      <c r="B68" s="104" t="s">
        <v>57</v>
      </c>
      <c r="C68" s="104">
        <v>7</v>
      </c>
      <c r="D68" s="104" t="s">
        <v>57</v>
      </c>
      <c r="E68" s="45">
        <v>1300000</v>
      </c>
      <c r="F68" s="98">
        <v>0.5</v>
      </c>
      <c r="G68" s="104">
        <v>8</v>
      </c>
      <c r="H68" s="43">
        <f>C68*E68*G68*F68</f>
        <v>36400000</v>
      </c>
      <c r="I68" s="44"/>
    </row>
    <row r="69" spans="2:10" s="102" customFormat="1" x14ac:dyDescent="0.2">
      <c r="B69" s="104" t="s">
        <v>194</v>
      </c>
      <c r="C69" s="104">
        <v>7</v>
      </c>
      <c r="D69" s="104" t="s">
        <v>57</v>
      </c>
      <c r="E69" s="45">
        <v>155000</v>
      </c>
      <c r="F69" s="98">
        <v>0.5</v>
      </c>
      <c r="G69" s="104">
        <v>8</v>
      </c>
      <c r="H69" s="43">
        <f>C69*E69*G69*F69</f>
        <v>4340000</v>
      </c>
      <c r="I69" s="44"/>
    </row>
    <row r="70" spans="2:10" ht="15" x14ac:dyDescent="0.25">
      <c r="B70" s="39" t="s">
        <v>95</v>
      </c>
      <c r="C70" s="39"/>
      <c r="D70" s="39"/>
      <c r="E70" s="39"/>
      <c r="F70" s="39"/>
      <c r="G70" s="39"/>
      <c r="H70" s="41"/>
      <c r="I70" s="99" t="s">
        <v>174</v>
      </c>
    </row>
    <row r="71" spans="2:10" ht="15" x14ac:dyDescent="0.25">
      <c r="B71" s="86" t="s">
        <v>96</v>
      </c>
      <c r="C71" s="87"/>
      <c r="D71" s="87"/>
      <c r="E71" s="88"/>
      <c r="F71" s="88"/>
      <c r="G71" s="87"/>
      <c r="H71" s="99">
        <f>SUM(H45:H70)</f>
        <v>2656547892.9499998</v>
      </c>
      <c r="I71" s="99">
        <f>H71/12</f>
        <v>221378991.07916665</v>
      </c>
    </row>
    <row r="72" spans="2:10" s="38" customFormat="1" ht="260.45" hidden="1" customHeight="1" x14ac:dyDescent="0.25">
      <c r="B72" s="100" t="s">
        <v>97</v>
      </c>
      <c r="C72" s="56"/>
      <c r="D72" s="56"/>
      <c r="E72" s="56"/>
      <c r="F72" s="56"/>
      <c r="G72" s="56"/>
      <c r="H72" s="99">
        <f t="shared" ref="H72" si="8">SUM(H46:H71)</f>
        <v>5310095785.8999996</v>
      </c>
      <c r="J72" s="37"/>
    </row>
    <row r="73" spans="2:10" ht="391.5" customHeight="1" x14ac:dyDescent="0.2">
      <c r="B73" s="218" t="s">
        <v>426</v>
      </c>
      <c r="C73" s="38"/>
      <c r="D73" s="38"/>
      <c r="E73" s="38"/>
      <c r="F73" s="78"/>
      <c r="G73" s="78"/>
      <c r="H73" s="102"/>
    </row>
    <row r="74" spans="2:10" x14ac:dyDescent="0.2">
      <c r="B74" s="38"/>
      <c r="C74" s="38"/>
      <c r="D74" s="38"/>
      <c r="E74" s="38"/>
      <c r="F74" s="38"/>
      <c r="G74" s="38"/>
    </row>
  </sheetData>
  <sheetProtection algorithmName="SHA-512" hashValue="EMLNyT30MA9n+lZoZGZBjWvvSArHIcpBmRFwINMvxOcveV7gMGYoEmGUIufY3yUQZkiam9opHfVKslaUkx5vxQ==" saltValue="BLaooPhKg7a9D7pvvCUG6Q==" spinCount="100000" sheet="1" objects="1" scenarios="1"/>
  <mergeCells count="2">
    <mergeCell ref="B13:H14"/>
    <mergeCell ref="B42:H4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0"/>
  <sheetViews>
    <sheetView showGridLines="0" zoomScale="60" zoomScaleNormal="60" workbookViewId="0">
      <selection activeCell="H35" sqref="H35"/>
    </sheetView>
  </sheetViews>
  <sheetFormatPr baseColWidth="10" defaultColWidth="10.7109375" defaultRowHeight="14.25" x14ac:dyDescent="0.2"/>
  <cols>
    <col min="1" max="1" width="17.42578125" style="102" customWidth="1"/>
    <col min="2" max="2" width="109.7109375" style="102" customWidth="1"/>
    <col min="3" max="3" width="26.42578125" style="102" customWidth="1"/>
    <col min="4" max="4" width="27.140625" style="102" customWidth="1"/>
    <col min="5" max="5" width="22.42578125" style="102" customWidth="1"/>
    <col min="6" max="6" width="21.42578125" style="102" bestFit="1" customWidth="1"/>
    <col min="7" max="7" width="26.28515625" style="102" customWidth="1"/>
    <col min="8" max="8" width="21.42578125" style="102" customWidth="1"/>
    <col min="9" max="9" width="21.7109375" style="102" customWidth="1"/>
    <col min="10" max="10" width="19.7109375" style="102" bestFit="1" customWidth="1"/>
    <col min="11" max="11" width="21.42578125" style="102" bestFit="1" customWidth="1"/>
    <col min="12" max="12" width="22.42578125" style="102" customWidth="1"/>
    <col min="13" max="22" width="19.7109375" style="102" bestFit="1" customWidth="1"/>
    <col min="23" max="23" width="20.42578125" style="102" bestFit="1" customWidth="1"/>
    <col min="24" max="24" width="25.42578125" style="102" customWidth="1"/>
    <col min="25" max="25" width="22.2851562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str">
        <f>'PPP_V3_y Costos'!C4</f>
        <v>2. Mejoramiento productivo del cultivo de maíz.</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E8+E9</f>
        <v>1223007694</v>
      </c>
      <c r="F7" s="66">
        <f t="shared" ref="F7:X7" si="0">F8+F9</f>
        <v>78399694040</v>
      </c>
      <c r="G7" s="66">
        <f t="shared" si="0"/>
        <v>78399694040</v>
      </c>
      <c r="H7" s="66">
        <f t="shared" si="0"/>
        <v>78399694040</v>
      </c>
      <c r="I7" s="66">
        <f t="shared" si="0"/>
        <v>78399694040</v>
      </c>
      <c r="J7" s="66">
        <f t="shared" si="0"/>
        <v>76239054248</v>
      </c>
      <c r="K7" s="66">
        <f t="shared" si="0"/>
        <v>76239054248</v>
      </c>
      <c r="L7" s="66">
        <f t="shared" si="0"/>
        <v>76239054248</v>
      </c>
      <c r="M7" s="66">
        <f t="shared" si="0"/>
        <v>76239054248</v>
      </c>
      <c r="N7" s="66">
        <f t="shared" si="0"/>
        <v>76239054248</v>
      </c>
      <c r="O7" s="66">
        <f t="shared" si="0"/>
        <v>76239054248</v>
      </c>
      <c r="P7" s="66">
        <f t="shared" si="0"/>
        <v>27946085498</v>
      </c>
      <c r="Q7" s="66">
        <f t="shared" si="0"/>
        <v>27946085498</v>
      </c>
      <c r="R7" s="66">
        <f t="shared" si="0"/>
        <v>27946085498</v>
      </c>
      <c r="S7" s="66">
        <f t="shared" si="0"/>
        <v>27946085498</v>
      </c>
      <c r="T7" s="66">
        <f t="shared" si="0"/>
        <v>27946085498</v>
      </c>
      <c r="U7" s="66">
        <f t="shared" si="0"/>
        <v>27946085498</v>
      </c>
      <c r="V7" s="66">
        <f t="shared" si="0"/>
        <v>27946085498</v>
      </c>
      <c r="W7" s="66">
        <f t="shared" si="0"/>
        <v>27946085498</v>
      </c>
      <c r="X7" s="66">
        <f t="shared" si="0"/>
        <v>27946085498</v>
      </c>
      <c r="Y7" s="66">
        <f>SUM(E7:X7)</f>
        <v>1023770878824</v>
      </c>
    </row>
    <row r="8" spans="1:26" s="71" customFormat="1" x14ac:dyDescent="0.2">
      <c r="A8" s="68"/>
      <c r="B8" s="69" t="str">
        <f>'PPP_V3_y Costos'!D4</f>
        <v>2.1. Implementación efectiva de la asistencia técnica en sistemas tecnificados de maíz.</v>
      </c>
      <c r="C8" s="114" t="s">
        <v>235</v>
      </c>
      <c r="D8" s="114" t="s">
        <v>177</v>
      </c>
      <c r="E8" s="70">
        <f>I42*3</f>
        <v>937600168</v>
      </c>
      <c r="F8" s="70">
        <f>H43</f>
        <v>78019150672</v>
      </c>
      <c r="G8" s="70">
        <f t="shared" ref="G8:I9" si="1">F8</f>
        <v>78019150672</v>
      </c>
      <c r="H8" s="70">
        <f t="shared" si="1"/>
        <v>78019150672</v>
      </c>
      <c r="I8" s="70">
        <f t="shared" si="1"/>
        <v>78019150672</v>
      </c>
      <c r="J8" s="70">
        <f>H44</f>
        <v>75858510880</v>
      </c>
      <c r="K8" s="70">
        <f t="shared" ref="K8:O9" si="2">J8</f>
        <v>75858510880</v>
      </c>
      <c r="L8" s="70">
        <f t="shared" si="2"/>
        <v>75858510880</v>
      </c>
      <c r="M8" s="70">
        <f t="shared" si="2"/>
        <v>75858510880</v>
      </c>
      <c r="N8" s="70">
        <f t="shared" si="2"/>
        <v>75858510880</v>
      </c>
      <c r="O8" s="70">
        <f t="shared" si="2"/>
        <v>75858510880</v>
      </c>
      <c r="P8" s="70">
        <f>H45</f>
        <v>27565542130</v>
      </c>
      <c r="Q8" s="70">
        <f>P8</f>
        <v>27565542130</v>
      </c>
      <c r="R8" s="70">
        <f>Q8</f>
        <v>27565542130</v>
      </c>
      <c r="S8" s="70">
        <f>R8</f>
        <v>27565542130</v>
      </c>
      <c r="T8" s="70">
        <f t="shared" ref="T8:X8" si="3">S8</f>
        <v>27565542130</v>
      </c>
      <c r="U8" s="70">
        <f t="shared" si="3"/>
        <v>27565542130</v>
      </c>
      <c r="V8" s="70">
        <f t="shared" si="3"/>
        <v>27565542130</v>
      </c>
      <c r="W8" s="70">
        <f t="shared" si="3"/>
        <v>27565542130</v>
      </c>
      <c r="X8" s="70">
        <f t="shared" si="3"/>
        <v>27565542130</v>
      </c>
      <c r="Y8" s="70">
        <f>SUM(E8:X8)</f>
        <v>1016255147306</v>
      </c>
    </row>
    <row r="9" spans="1:26" s="71" customFormat="1" x14ac:dyDescent="0.2">
      <c r="A9" s="68"/>
      <c r="B9" s="69" t="str">
        <f>'PPP_V3_y Costos'!D5</f>
        <v xml:space="preserve">2.2. Impulso a la producción de maíz a mediana y gran escala.  </v>
      </c>
      <c r="C9" s="114" t="s">
        <v>406</v>
      </c>
      <c r="D9" s="114" t="s">
        <v>177</v>
      </c>
      <c r="E9" s="70">
        <f>I58*9</f>
        <v>285407526</v>
      </c>
      <c r="F9" s="70">
        <f>H58</f>
        <v>380543368</v>
      </c>
      <c r="G9" s="70">
        <f t="shared" si="1"/>
        <v>380543368</v>
      </c>
      <c r="H9" s="70">
        <f t="shared" si="1"/>
        <v>380543368</v>
      </c>
      <c r="I9" s="70">
        <f t="shared" si="1"/>
        <v>380543368</v>
      </c>
      <c r="J9" s="70">
        <f>I9</f>
        <v>380543368</v>
      </c>
      <c r="K9" s="70">
        <f t="shared" si="2"/>
        <v>380543368</v>
      </c>
      <c r="L9" s="70">
        <f t="shared" si="2"/>
        <v>380543368</v>
      </c>
      <c r="M9" s="70">
        <f t="shared" si="2"/>
        <v>380543368</v>
      </c>
      <c r="N9" s="70">
        <f t="shared" si="2"/>
        <v>380543368</v>
      </c>
      <c r="O9" s="70">
        <f t="shared" si="2"/>
        <v>380543368</v>
      </c>
      <c r="P9" s="70">
        <f t="shared" ref="P9:X9" si="4">O9</f>
        <v>380543368</v>
      </c>
      <c r="Q9" s="70">
        <f t="shared" si="4"/>
        <v>380543368</v>
      </c>
      <c r="R9" s="70">
        <f t="shared" si="4"/>
        <v>380543368</v>
      </c>
      <c r="S9" s="70">
        <f t="shared" si="4"/>
        <v>380543368</v>
      </c>
      <c r="T9" s="70">
        <f t="shared" si="4"/>
        <v>380543368</v>
      </c>
      <c r="U9" s="70">
        <f t="shared" si="4"/>
        <v>380543368</v>
      </c>
      <c r="V9" s="70">
        <f t="shared" si="4"/>
        <v>380543368</v>
      </c>
      <c r="W9" s="70">
        <f t="shared" si="4"/>
        <v>380543368</v>
      </c>
      <c r="X9" s="70">
        <f t="shared" si="4"/>
        <v>380543368</v>
      </c>
      <c r="Y9" s="70">
        <f>SUM(E9:X9)</f>
        <v>7515731518</v>
      </c>
    </row>
    <row r="10" spans="1:26" s="40" customFormat="1" ht="24.75" customHeight="1" x14ac:dyDescent="0.25">
      <c r="A10" s="102"/>
      <c r="B10" s="64" t="s">
        <v>33</v>
      </c>
      <c r="C10" s="64"/>
      <c r="D10" s="64"/>
      <c r="E10" s="72">
        <f>SUM(E8:E9)</f>
        <v>1223007694</v>
      </c>
      <c r="F10" s="72">
        <f t="shared" ref="F10:Y10" si="5">SUM(F8:F9)</f>
        <v>78399694040</v>
      </c>
      <c r="G10" s="72">
        <f t="shared" si="5"/>
        <v>78399694040</v>
      </c>
      <c r="H10" s="72">
        <f t="shared" si="5"/>
        <v>78399694040</v>
      </c>
      <c r="I10" s="72">
        <f t="shared" si="5"/>
        <v>78399694040</v>
      </c>
      <c r="J10" s="72">
        <f t="shared" si="5"/>
        <v>76239054248</v>
      </c>
      <c r="K10" s="72">
        <f t="shared" si="5"/>
        <v>76239054248</v>
      </c>
      <c r="L10" s="72">
        <f t="shared" si="5"/>
        <v>76239054248</v>
      </c>
      <c r="M10" s="72">
        <f t="shared" si="5"/>
        <v>76239054248</v>
      </c>
      <c r="N10" s="72">
        <f t="shared" si="5"/>
        <v>76239054248</v>
      </c>
      <c r="O10" s="72">
        <f t="shared" si="5"/>
        <v>76239054248</v>
      </c>
      <c r="P10" s="72">
        <f t="shared" si="5"/>
        <v>27946085498</v>
      </c>
      <c r="Q10" s="72">
        <f t="shared" si="5"/>
        <v>27946085498</v>
      </c>
      <c r="R10" s="72">
        <f t="shared" si="5"/>
        <v>27946085498</v>
      </c>
      <c r="S10" s="72">
        <f t="shared" si="5"/>
        <v>27946085498</v>
      </c>
      <c r="T10" s="72">
        <f t="shared" si="5"/>
        <v>27946085498</v>
      </c>
      <c r="U10" s="72">
        <f t="shared" si="5"/>
        <v>27946085498</v>
      </c>
      <c r="V10" s="72">
        <f t="shared" si="5"/>
        <v>27946085498</v>
      </c>
      <c r="W10" s="72">
        <f t="shared" si="5"/>
        <v>27946085498</v>
      </c>
      <c r="X10" s="72">
        <f t="shared" si="5"/>
        <v>27946085498</v>
      </c>
      <c r="Y10" s="72">
        <f t="shared" si="5"/>
        <v>1023770878824</v>
      </c>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17" t="str">
        <f>B8</f>
        <v>2.1. Implementación efectiva de la asistencia técnica en sistemas tecnificados de maíz.</v>
      </c>
      <c r="C13" s="718"/>
      <c r="D13" s="718"/>
      <c r="E13" s="718"/>
      <c r="F13" s="718"/>
      <c r="G13" s="718"/>
      <c r="H13" s="718"/>
      <c r="I13" s="316"/>
      <c r="X13" s="78"/>
    </row>
    <row r="14" spans="1:26" s="103" customFormat="1" ht="14.45" customHeight="1" x14ac:dyDescent="0.25">
      <c r="B14" s="719"/>
      <c r="C14" s="719"/>
      <c r="D14" s="719"/>
      <c r="E14" s="719"/>
      <c r="F14" s="719"/>
      <c r="G14" s="719"/>
      <c r="H14" s="719"/>
      <c r="I14" s="316"/>
      <c r="X14" s="78"/>
    </row>
    <row r="15" spans="1:26" ht="15" x14ac:dyDescent="0.25">
      <c r="B15" s="79" t="s">
        <v>79</v>
      </c>
      <c r="C15" s="79" t="s">
        <v>59</v>
      </c>
      <c r="D15" s="79" t="s">
        <v>56</v>
      </c>
      <c r="E15" s="79" t="s">
        <v>55</v>
      </c>
      <c r="F15" s="80" t="s">
        <v>108</v>
      </c>
      <c r="G15" s="79" t="s">
        <v>239</v>
      </c>
      <c r="H15" s="79" t="s">
        <v>82</v>
      </c>
      <c r="X15" s="81"/>
    </row>
    <row r="16" spans="1:26" x14ac:dyDescent="0.2">
      <c r="B16" s="104" t="s">
        <v>83</v>
      </c>
      <c r="C16" s="104">
        <v>20</v>
      </c>
      <c r="D16" s="104" t="s">
        <v>84</v>
      </c>
      <c r="E16" s="45">
        <v>500000</v>
      </c>
      <c r="F16" s="104"/>
      <c r="G16" s="104"/>
      <c r="H16" s="140">
        <f>C16*E16</f>
        <v>10000000</v>
      </c>
    </row>
    <row r="17" spans="2:9" x14ac:dyDescent="0.2">
      <c r="B17" s="105" t="s">
        <v>85</v>
      </c>
      <c r="C17" s="105">
        <v>20</v>
      </c>
      <c r="D17" s="105" t="s">
        <v>84</v>
      </c>
      <c r="E17" s="82">
        <v>100000</v>
      </c>
      <c r="F17" s="105"/>
      <c r="G17" s="105"/>
      <c r="H17" s="140">
        <f t="shared" ref="H17:H21" si="6">C17*E17</f>
        <v>2000000</v>
      </c>
    </row>
    <row r="18" spans="2:9" x14ac:dyDescent="0.2">
      <c r="B18" s="105" t="s">
        <v>102</v>
      </c>
      <c r="C18" s="105">
        <v>30</v>
      </c>
      <c r="D18" s="105" t="s">
        <v>84</v>
      </c>
      <c r="E18" s="82">
        <v>2300000</v>
      </c>
      <c r="F18" s="105"/>
      <c r="G18" s="105"/>
      <c r="H18" s="140">
        <f t="shared" si="6"/>
        <v>69000000</v>
      </c>
    </row>
    <row r="19" spans="2:9" x14ac:dyDescent="0.2">
      <c r="B19" s="105" t="s">
        <v>103</v>
      </c>
      <c r="C19" s="105">
        <v>30</v>
      </c>
      <c r="D19" s="105" t="s">
        <v>84</v>
      </c>
      <c r="E19" s="82">
        <v>460000</v>
      </c>
      <c r="F19" s="105"/>
      <c r="G19" s="105"/>
      <c r="H19" s="140">
        <f t="shared" si="6"/>
        <v>13800000</v>
      </c>
    </row>
    <row r="20" spans="2:9" ht="15.75" customHeight="1" x14ac:dyDescent="0.2">
      <c r="B20" s="105" t="s">
        <v>87</v>
      </c>
      <c r="C20" s="105">
        <v>10</v>
      </c>
      <c r="D20" s="105" t="s">
        <v>76</v>
      </c>
      <c r="E20" s="95">
        <v>6000000</v>
      </c>
      <c r="F20" s="105"/>
      <c r="G20" s="105"/>
      <c r="H20" s="140">
        <f t="shared" si="6"/>
        <v>60000000</v>
      </c>
    </row>
    <row r="21" spans="2:9" x14ac:dyDescent="0.2">
      <c r="B21" s="105" t="s">
        <v>88</v>
      </c>
      <c r="C21" s="105">
        <v>10</v>
      </c>
      <c r="D21" s="105" t="s">
        <v>76</v>
      </c>
      <c r="E21" s="95">
        <v>1800000</v>
      </c>
      <c r="F21" s="105"/>
      <c r="G21" s="105"/>
      <c r="H21" s="140">
        <f t="shared" si="6"/>
        <v>18000000</v>
      </c>
    </row>
    <row r="22" spans="2:9" x14ac:dyDescent="0.2">
      <c r="B22" s="105" t="s">
        <v>178</v>
      </c>
      <c r="C22" s="105">
        <v>10</v>
      </c>
      <c r="D22" s="105" t="s">
        <v>84</v>
      </c>
      <c r="E22" s="95">
        <v>1500000</v>
      </c>
      <c r="F22" s="209">
        <v>0.5</v>
      </c>
      <c r="G22" s="105"/>
      <c r="H22" s="140">
        <f>C22*E22*F22</f>
        <v>7500000</v>
      </c>
    </row>
    <row r="23" spans="2:9" x14ac:dyDescent="0.2">
      <c r="B23" s="105" t="s">
        <v>89</v>
      </c>
      <c r="C23" s="105">
        <v>10</v>
      </c>
      <c r="D23" s="105" t="s">
        <v>84</v>
      </c>
      <c r="E23" s="95">
        <v>450000</v>
      </c>
      <c r="F23" s="209">
        <v>0.5</v>
      </c>
      <c r="G23" s="105"/>
      <c r="H23" s="140">
        <f>C23*E23*F23</f>
        <v>2250000</v>
      </c>
    </row>
    <row r="24" spans="2:9" x14ac:dyDescent="0.2">
      <c r="B24" s="105" t="s">
        <v>165</v>
      </c>
      <c r="C24" s="105">
        <v>8</v>
      </c>
      <c r="D24" s="105" t="s">
        <v>106</v>
      </c>
      <c r="E24" s="82">
        <v>52200000</v>
      </c>
      <c r="F24" s="105"/>
      <c r="G24" s="105"/>
      <c r="H24" s="140">
        <f>C24*E24</f>
        <v>417600000</v>
      </c>
    </row>
    <row r="25" spans="2:9" x14ac:dyDescent="0.2">
      <c r="B25" s="105" t="s">
        <v>223</v>
      </c>
      <c r="C25" s="105">
        <v>8</v>
      </c>
      <c r="D25" s="105" t="s">
        <v>111</v>
      </c>
      <c r="E25" s="82">
        <v>20000000</v>
      </c>
      <c r="F25" s="105"/>
      <c r="G25" s="105"/>
      <c r="H25" s="140">
        <f t="shared" ref="H25:H31" si="7">C25*E25</f>
        <v>160000000</v>
      </c>
    </row>
    <row r="26" spans="2:9" x14ac:dyDescent="0.2">
      <c r="B26" s="105" t="s">
        <v>105</v>
      </c>
      <c r="C26" s="105">
        <v>8</v>
      </c>
      <c r="D26" s="105" t="s">
        <v>231</v>
      </c>
      <c r="E26" s="82">
        <v>18000000</v>
      </c>
      <c r="F26" s="105"/>
      <c r="G26" s="105"/>
      <c r="H26" s="140">
        <f t="shared" si="7"/>
        <v>144000000</v>
      </c>
    </row>
    <row r="27" spans="2:9" x14ac:dyDescent="0.2">
      <c r="B27" s="105" t="s">
        <v>224</v>
      </c>
      <c r="C27" s="105">
        <v>10</v>
      </c>
      <c r="D27" s="105" t="s">
        <v>225</v>
      </c>
      <c r="E27" s="82">
        <v>3270000</v>
      </c>
      <c r="F27" s="105"/>
      <c r="G27" s="105"/>
      <c r="H27" s="140">
        <f t="shared" si="7"/>
        <v>32700000</v>
      </c>
    </row>
    <row r="28" spans="2:9" x14ac:dyDescent="0.2">
      <c r="B28" s="105" t="s">
        <v>188</v>
      </c>
      <c r="C28" s="105">
        <v>10</v>
      </c>
      <c r="D28" s="105" t="s">
        <v>84</v>
      </c>
      <c r="E28" s="82">
        <v>14500000</v>
      </c>
      <c r="F28" s="105"/>
      <c r="G28" s="105"/>
      <c r="H28" s="140">
        <f t="shared" si="7"/>
        <v>145000000</v>
      </c>
    </row>
    <row r="29" spans="2:9" x14ac:dyDescent="0.2">
      <c r="B29" s="105" t="s">
        <v>60</v>
      </c>
      <c r="C29" s="105">
        <v>10</v>
      </c>
      <c r="D29" s="105" t="s">
        <v>84</v>
      </c>
      <c r="E29" s="82">
        <v>5000000</v>
      </c>
      <c r="F29" s="105"/>
      <c r="G29" s="105"/>
      <c r="H29" s="140">
        <f t="shared" si="7"/>
        <v>50000000</v>
      </c>
    </row>
    <row r="30" spans="2:9" x14ac:dyDescent="0.2">
      <c r="B30" s="105" t="s">
        <v>232</v>
      </c>
      <c r="C30" s="105">
        <v>10</v>
      </c>
      <c r="D30" s="105" t="s">
        <v>84</v>
      </c>
      <c r="E30" s="82">
        <f>40000*100</f>
        <v>4000000</v>
      </c>
      <c r="F30" s="105"/>
      <c r="G30" s="105"/>
      <c r="H30" s="140">
        <f t="shared" si="7"/>
        <v>40000000</v>
      </c>
    </row>
    <row r="31" spans="2:9" x14ac:dyDescent="0.2">
      <c r="B31" s="105" t="s">
        <v>331</v>
      </c>
      <c r="C31" s="105">
        <v>20</v>
      </c>
      <c r="D31" s="105" t="s">
        <v>84</v>
      </c>
      <c r="E31" s="95">
        <v>5170000</v>
      </c>
      <c r="F31" s="105"/>
      <c r="G31" s="105"/>
      <c r="H31" s="140">
        <f t="shared" si="7"/>
        <v>103400000</v>
      </c>
    </row>
    <row r="32" spans="2:9" x14ac:dyDescent="0.2">
      <c r="B32" s="105" t="s">
        <v>227</v>
      </c>
      <c r="C32" s="105">
        <v>2</v>
      </c>
      <c r="D32" s="105" t="s">
        <v>228</v>
      </c>
      <c r="E32" s="82">
        <v>43000000</v>
      </c>
      <c r="F32" s="209">
        <v>0.5</v>
      </c>
      <c r="G32" s="105"/>
      <c r="H32" s="140">
        <f>C32*E32*F32</f>
        <v>43000000</v>
      </c>
      <c r="I32" s="84"/>
    </row>
    <row r="33" spans="2:24" x14ac:dyDescent="0.2">
      <c r="B33" s="105" t="s">
        <v>429</v>
      </c>
      <c r="C33" s="105">
        <f>200*20</f>
        <v>4000</v>
      </c>
      <c r="D33" s="105" t="s">
        <v>377</v>
      </c>
      <c r="E33" s="82">
        <v>334640.25000000006</v>
      </c>
      <c r="F33" s="105"/>
      <c r="G33" s="105"/>
      <c r="H33" s="140">
        <f t="shared" ref="H33" si="8">C33*E33</f>
        <v>1338561000.0000002</v>
      </c>
    </row>
    <row r="34" spans="2:24" x14ac:dyDescent="0.2">
      <c r="B34" s="105" t="s">
        <v>230</v>
      </c>
      <c r="C34" s="105">
        <v>4</v>
      </c>
      <c r="D34" s="105" t="s">
        <v>114</v>
      </c>
      <c r="E34" s="82">
        <v>7862772</v>
      </c>
      <c r="F34" s="209"/>
      <c r="G34" s="105">
        <v>10</v>
      </c>
      <c r="H34" s="140">
        <f>C34*E34*G34</f>
        <v>314510880</v>
      </c>
      <c r="I34" s="84"/>
    </row>
    <row r="35" spans="2:24" x14ac:dyDescent="0.2">
      <c r="B35" s="105" t="s">
        <v>234</v>
      </c>
      <c r="C35" s="105">
        <v>5</v>
      </c>
      <c r="D35" s="105" t="s">
        <v>114</v>
      </c>
      <c r="E35" s="82">
        <v>12894949</v>
      </c>
      <c r="F35" s="105"/>
      <c r="G35" s="105">
        <v>12</v>
      </c>
      <c r="H35" s="140">
        <f>C35*E35*G35</f>
        <v>773696940</v>
      </c>
      <c r="I35" s="84"/>
    </row>
    <row r="36" spans="2:24" ht="15.75" customHeight="1" x14ac:dyDescent="0.2">
      <c r="B36" s="105" t="s">
        <v>222</v>
      </c>
      <c r="C36" s="105">
        <v>1</v>
      </c>
      <c r="D36" s="105" t="s">
        <v>430</v>
      </c>
      <c r="E36" s="82">
        <v>5381852</v>
      </c>
      <c r="F36" s="105"/>
      <c r="G36" s="105"/>
      <c r="H36" s="140">
        <f>C36*E36</f>
        <v>5381852</v>
      </c>
    </row>
    <row r="37" spans="2:24" x14ac:dyDescent="0.2">
      <c r="B37" s="105" t="s">
        <v>446</v>
      </c>
      <c r="C37" s="55">
        <v>250000</v>
      </c>
      <c r="D37" s="105" t="s">
        <v>226</v>
      </c>
      <c r="E37" s="55">
        <v>100000</v>
      </c>
      <c r="F37" s="209">
        <v>0.4</v>
      </c>
      <c r="G37" s="105"/>
      <c r="H37" s="396">
        <f>C37*E37*F37</f>
        <v>10000000000</v>
      </c>
      <c r="I37" s="84"/>
    </row>
    <row r="38" spans="2:24" x14ac:dyDescent="0.2">
      <c r="B38" s="105" t="s">
        <v>229</v>
      </c>
      <c r="C38" s="105">
        <v>125</v>
      </c>
      <c r="D38" s="105" t="s">
        <v>443</v>
      </c>
      <c r="E38" s="82">
        <v>2570750000</v>
      </c>
      <c r="F38" s="209">
        <v>0.2</v>
      </c>
      <c r="G38" s="105"/>
      <c r="H38" s="396">
        <f>C38*E38*F38</f>
        <v>64268750000</v>
      </c>
      <c r="I38" s="84"/>
    </row>
    <row r="39" spans="2:24" x14ac:dyDescent="0.2">
      <c r="B39" s="105" t="s">
        <v>447</v>
      </c>
      <c r="C39" s="43">
        <f>C37</f>
        <v>250000</v>
      </c>
      <c r="D39" s="105" t="s">
        <v>226</v>
      </c>
      <c r="E39" s="43">
        <f>E37</f>
        <v>100000</v>
      </c>
      <c r="F39" s="397">
        <v>7.4999999999999997E-2</v>
      </c>
      <c r="G39" s="105"/>
      <c r="H39" s="55">
        <f>C39*E39*F39</f>
        <v>1875000000</v>
      </c>
      <c r="I39" s="103"/>
    </row>
    <row r="40" spans="2:24" x14ac:dyDescent="0.2">
      <c r="B40" s="105" t="s">
        <v>408</v>
      </c>
      <c r="C40" s="43">
        <f>C38</f>
        <v>125</v>
      </c>
      <c r="D40" s="105" t="s">
        <v>443</v>
      </c>
      <c r="E40" s="43">
        <f>E38</f>
        <v>2570750000</v>
      </c>
      <c r="F40" s="397">
        <v>7.4999999999999997E-2</v>
      </c>
      <c r="G40" s="105"/>
      <c r="H40" s="55">
        <f>C40*E40*F40</f>
        <v>24100781250</v>
      </c>
      <c r="I40" s="103"/>
    </row>
    <row r="41" spans="2:24" ht="15" x14ac:dyDescent="0.25">
      <c r="B41" s="105" t="s">
        <v>233</v>
      </c>
      <c r="C41" s="105"/>
      <c r="D41" s="105"/>
      <c r="E41" s="105"/>
      <c r="F41" s="105"/>
      <c r="G41" s="105"/>
      <c r="H41" s="140" t="s">
        <v>78</v>
      </c>
      <c r="I41" s="115" t="s">
        <v>174</v>
      </c>
    </row>
    <row r="42" spans="2:24" ht="15" x14ac:dyDescent="0.25">
      <c r="B42" s="326" t="s">
        <v>236</v>
      </c>
      <c r="C42" s="143"/>
      <c r="D42" s="143"/>
      <c r="E42" s="143"/>
      <c r="F42" s="143"/>
      <c r="G42" s="143"/>
      <c r="H42" s="369">
        <f>SUM(H16:H36)</f>
        <v>3750400672</v>
      </c>
      <c r="I42" s="115">
        <f>H42/12</f>
        <v>312533389.33333331</v>
      </c>
    </row>
    <row r="43" spans="2:24" ht="15" x14ac:dyDescent="0.25">
      <c r="B43" s="86" t="s">
        <v>237</v>
      </c>
      <c r="C43" s="87"/>
      <c r="D43" s="87"/>
      <c r="E43" s="87"/>
      <c r="F43" s="88"/>
      <c r="G43" s="88"/>
      <c r="H43" s="115">
        <f>SUM(H16:H38)</f>
        <v>78019150672</v>
      </c>
    </row>
    <row r="44" spans="2:24" ht="15" x14ac:dyDescent="0.25">
      <c r="B44" s="333" t="s">
        <v>374</v>
      </c>
      <c r="C44" s="141"/>
      <c r="D44" s="141"/>
      <c r="E44" s="141"/>
      <c r="F44" s="141"/>
      <c r="G44" s="141"/>
      <c r="H44" s="334">
        <f>H43-H32-H33-H35-H36</f>
        <v>75858510880</v>
      </c>
    </row>
    <row r="45" spans="2:24" ht="15" x14ac:dyDescent="0.25">
      <c r="B45" s="86" t="s">
        <v>375</v>
      </c>
      <c r="C45" s="141"/>
      <c r="D45" s="141"/>
      <c r="E45" s="141"/>
      <c r="F45" s="141"/>
      <c r="G45" s="141"/>
      <c r="H45" s="334">
        <f>H44-H38-H37+H40+H39</f>
        <v>27565542130</v>
      </c>
    </row>
    <row r="46" spans="2:24" ht="409.5" customHeight="1" x14ac:dyDescent="0.2">
      <c r="B46" s="218" t="s">
        <v>452</v>
      </c>
      <c r="C46" s="314"/>
      <c r="D46" s="141"/>
      <c r="E46" s="141"/>
      <c r="F46" s="141"/>
      <c r="G46" s="141"/>
      <c r="H46" s="141"/>
      <c r="I46" s="141"/>
      <c r="K46" s="141"/>
      <c r="L46" s="141"/>
      <c r="M46" s="141"/>
    </row>
    <row r="47" spans="2:24" x14ac:dyDescent="0.2">
      <c r="B47" s="336"/>
      <c r="C47" s="314"/>
      <c r="D47" s="141"/>
      <c r="E47" s="141"/>
      <c r="F47" s="141"/>
      <c r="G47" s="141"/>
      <c r="H47" s="141"/>
      <c r="I47" s="141"/>
      <c r="J47" s="141"/>
      <c r="K47" s="141"/>
      <c r="L47" s="141"/>
      <c r="M47" s="141"/>
    </row>
    <row r="48" spans="2:24" s="103" customFormat="1" ht="14.45" customHeight="1" x14ac:dyDescent="0.25">
      <c r="B48" s="321" t="str">
        <f>B9</f>
        <v xml:space="preserve">2.2. Impulso a la producción de maíz a mediana y gran escala.  </v>
      </c>
      <c r="C48" s="314"/>
      <c r="D48" s="141"/>
      <c r="E48" s="141"/>
      <c r="F48" s="141"/>
      <c r="G48" s="141"/>
      <c r="H48" s="141"/>
      <c r="I48" s="316"/>
      <c r="X48" s="78"/>
    </row>
    <row r="49" spans="2:24" ht="15" x14ac:dyDescent="0.25">
      <c r="B49" s="79" t="s">
        <v>79</v>
      </c>
      <c r="C49" s="79" t="s">
        <v>59</v>
      </c>
      <c r="D49" s="79" t="s">
        <v>56</v>
      </c>
      <c r="E49" s="79" t="s">
        <v>55</v>
      </c>
      <c r="F49" s="80" t="s">
        <v>108</v>
      </c>
      <c r="G49" s="79" t="s">
        <v>239</v>
      </c>
      <c r="H49" s="79" t="s">
        <v>82</v>
      </c>
      <c r="X49" s="81"/>
    </row>
    <row r="50" spans="2:24" x14ac:dyDescent="0.2">
      <c r="B50" s="104" t="s">
        <v>83</v>
      </c>
      <c r="C50" s="104">
        <v>12</v>
      </c>
      <c r="D50" s="104" t="s">
        <v>84</v>
      </c>
      <c r="E50" s="45">
        <v>500000</v>
      </c>
      <c r="F50" s="104"/>
      <c r="G50" s="104"/>
      <c r="H50" s="140">
        <f>+E50*C50</f>
        <v>6000000</v>
      </c>
      <c r="J50" s="53"/>
    </row>
    <row r="51" spans="2:24" x14ac:dyDescent="0.2">
      <c r="B51" s="104" t="s">
        <v>85</v>
      </c>
      <c r="C51" s="104">
        <v>12</v>
      </c>
      <c r="D51" s="104" t="s">
        <v>84</v>
      </c>
      <c r="E51" s="45">
        <v>100000</v>
      </c>
      <c r="F51" s="104"/>
      <c r="G51" s="104"/>
      <c r="H51" s="140">
        <f t="shared" ref="H51:H57" si="9">+E51*C51</f>
        <v>1200000</v>
      </c>
      <c r="J51" s="53"/>
    </row>
    <row r="52" spans="2:24" x14ac:dyDescent="0.2">
      <c r="B52" s="104" t="s">
        <v>102</v>
      </c>
      <c r="C52" s="104">
        <v>4</v>
      </c>
      <c r="D52" s="104" t="s">
        <v>84</v>
      </c>
      <c r="E52" s="45">
        <v>2300000</v>
      </c>
      <c r="F52" s="104"/>
      <c r="G52" s="104"/>
      <c r="H52" s="140">
        <f t="shared" si="9"/>
        <v>9200000</v>
      </c>
      <c r="J52" s="53"/>
    </row>
    <row r="53" spans="2:24" x14ac:dyDescent="0.2">
      <c r="B53" s="104" t="s">
        <v>103</v>
      </c>
      <c r="C53" s="104">
        <v>4</v>
      </c>
      <c r="D53" s="104" t="s">
        <v>84</v>
      </c>
      <c r="E53" s="45">
        <v>460000</v>
      </c>
      <c r="F53" s="104"/>
      <c r="G53" s="104"/>
      <c r="H53" s="140">
        <f t="shared" si="9"/>
        <v>1840000</v>
      </c>
      <c r="J53" s="53"/>
    </row>
    <row r="54" spans="2:24" ht="15.75" customHeight="1" x14ac:dyDescent="0.2">
      <c r="B54" s="104" t="s">
        <v>366</v>
      </c>
      <c r="C54" s="104">
        <v>2</v>
      </c>
      <c r="D54" s="104" t="s">
        <v>84</v>
      </c>
      <c r="E54" s="109">
        <v>18000000</v>
      </c>
      <c r="F54" s="104"/>
      <c r="G54" s="104"/>
      <c r="H54" s="140">
        <f t="shared" si="9"/>
        <v>36000000</v>
      </c>
      <c r="J54" s="53"/>
    </row>
    <row r="55" spans="2:24" x14ac:dyDescent="0.2">
      <c r="B55" s="104" t="s">
        <v>367</v>
      </c>
      <c r="C55" s="104">
        <v>2</v>
      </c>
      <c r="D55" s="104" t="s">
        <v>84</v>
      </c>
      <c r="E55" s="109">
        <v>3270000</v>
      </c>
      <c r="F55" s="98"/>
      <c r="G55" s="104"/>
      <c r="H55" s="140">
        <f t="shared" si="9"/>
        <v>6540000</v>
      </c>
      <c r="J55" s="53"/>
    </row>
    <row r="56" spans="2:24" x14ac:dyDescent="0.2">
      <c r="B56" s="104" t="s">
        <v>368</v>
      </c>
      <c r="C56" s="104">
        <v>4</v>
      </c>
      <c r="D56" s="104" t="s">
        <v>114</v>
      </c>
      <c r="E56" s="109">
        <v>7862772</v>
      </c>
      <c r="F56" s="98"/>
      <c r="G56" s="104">
        <v>10</v>
      </c>
      <c r="H56" s="140">
        <f>+E56*C56*G56</f>
        <v>314510880</v>
      </c>
      <c r="J56" s="53"/>
    </row>
    <row r="57" spans="2:24" x14ac:dyDescent="0.2">
      <c r="B57" s="104" t="s">
        <v>369</v>
      </c>
      <c r="C57" s="104">
        <v>4</v>
      </c>
      <c r="D57" s="104" t="s">
        <v>84</v>
      </c>
      <c r="E57" s="109">
        <v>1313122</v>
      </c>
      <c r="F57" s="98"/>
      <c r="G57" s="104"/>
      <c r="H57" s="140">
        <f t="shared" si="9"/>
        <v>5252488</v>
      </c>
      <c r="J57" s="53"/>
    </row>
    <row r="58" spans="2:24" ht="15" x14ac:dyDescent="0.25">
      <c r="B58" s="86" t="s">
        <v>370</v>
      </c>
      <c r="C58" s="86"/>
      <c r="D58" s="86"/>
      <c r="E58" s="86"/>
      <c r="F58" s="86"/>
      <c r="G58" s="86"/>
      <c r="H58" s="322">
        <f>SUM(H50:H57)</f>
        <v>380543368</v>
      </c>
      <c r="I58" s="323">
        <f>H58/12</f>
        <v>31711947.333333332</v>
      </c>
      <c r="J58" s="103"/>
    </row>
    <row r="59" spans="2:24" ht="71.25" x14ac:dyDescent="0.2">
      <c r="B59" s="218" t="s">
        <v>431</v>
      </c>
      <c r="C59" s="314"/>
      <c r="D59" s="141"/>
      <c r="E59" s="141"/>
      <c r="F59" s="141"/>
      <c r="G59" s="141"/>
      <c r="H59" s="141"/>
      <c r="I59" s="141"/>
      <c r="J59" s="141"/>
      <c r="K59" s="141"/>
      <c r="L59" s="141"/>
      <c r="M59" s="141"/>
    </row>
    <row r="60" spans="2:24" x14ac:dyDescent="0.2">
      <c r="D60" s="141"/>
      <c r="E60" s="141"/>
      <c r="F60" s="141"/>
      <c r="G60" s="141"/>
      <c r="H60" s="141"/>
      <c r="I60" s="141"/>
      <c r="J60" s="141"/>
      <c r="K60" s="141"/>
      <c r="L60" s="141"/>
      <c r="M60" s="141"/>
    </row>
  </sheetData>
  <sheetProtection algorithmName="SHA-512" hashValue="cuko6zhuLs8bHSYQoT25fyuz6fqoDaXRdM9YoFSllJ3aSrUqXAdWlmO9PG4O+51pbJl8MvSFCW+Efz7l8Te56A==" saltValue="u4LWsgIWRNx9+PALN899iw==" spinCount="100000" sheet="1" objects="1" scenarios="1"/>
  <mergeCells count="1">
    <mergeCell ref="B13:H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5"/>
  <sheetViews>
    <sheetView showGridLines="0" zoomScale="60" zoomScaleNormal="60" workbookViewId="0">
      <selection activeCell="B8" sqref="B8"/>
    </sheetView>
  </sheetViews>
  <sheetFormatPr baseColWidth="10" defaultColWidth="10.7109375" defaultRowHeight="14.25" x14ac:dyDescent="0.2"/>
  <cols>
    <col min="1" max="1" width="13.42578125" style="102" customWidth="1"/>
    <col min="2" max="2" width="98.85546875" style="102" customWidth="1"/>
    <col min="3" max="3" width="19.85546875" style="102" customWidth="1"/>
    <col min="4" max="4" width="23.42578125" style="102" customWidth="1"/>
    <col min="5" max="5" width="22.42578125" style="102" customWidth="1"/>
    <col min="6" max="6" width="21.42578125" style="102" customWidth="1"/>
    <col min="7" max="7" width="20" style="102" customWidth="1"/>
    <col min="8" max="8" width="24.42578125" style="102" customWidth="1"/>
    <col min="9" max="9" width="19.42578125" style="102" customWidth="1"/>
    <col min="10" max="10" width="20" style="102" customWidth="1"/>
    <col min="11" max="11" width="18.42578125" style="102" bestFit="1" customWidth="1"/>
    <col min="12" max="12" width="19.140625" style="102" bestFit="1" customWidth="1"/>
    <col min="13" max="23" width="18.42578125" style="102" bestFit="1" customWidth="1"/>
    <col min="24" max="24" width="19.140625" style="102" bestFit="1" customWidth="1"/>
    <col min="25" max="25" width="21.42578125" style="102" bestFit="1" customWidth="1"/>
    <col min="26" max="26" width="22.85546875" style="102"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b">
        <f>'PPP_V3_y Costos'!D6&lt;'PPP_V3_y Costos'!C6</f>
        <v>0</v>
      </c>
      <c r="C4" s="61"/>
      <c r="D4" s="62"/>
    </row>
    <row r="5" spans="1:26" ht="26.25" customHeight="1" x14ac:dyDescent="0.2">
      <c r="E5" s="160"/>
      <c r="F5" s="160"/>
      <c r="G5" s="160"/>
      <c r="H5" s="160"/>
      <c r="I5" s="160"/>
      <c r="J5" s="160"/>
      <c r="K5" s="160"/>
      <c r="L5" s="160"/>
      <c r="M5" s="160"/>
      <c r="N5" s="160"/>
      <c r="O5" s="160"/>
      <c r="P5" s="160"/>
      <c r="Q5" s="160"/>
      <c r="R5" s="160"/>
      <c r="S5" s="160"/>
      <c r="T5" s="160"/>
      <c r="U5" s="160"/>
      <c r="V5" s="160"/>
      <c r="W5" s="160"/>
      <c r="X5" s="160"/>
      <c r="Y5" s="160"/>
      <c r="Z5" s="161"/>
    </row>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SUM(E8:E12)</f>
        <v>2192898774.0434985</v>
      </c>
      <c r="F7" s="66">
        <f t="shared" ref="F7:X7" si="0">SUM(F8:F12)</f>
        <v>75017708836.936035</v>
      </c>
      <c r="G7" s="66">
        <f t="shared" si="0"/>
        <v>75017708836.936035</v>
      </c>
      <c r="H7" s="66">
        <f t="shared" si="0"/>
        <v>75017708836.936035</v>
      </c>
      <c r="I7" s="66">
        <f t="shared" si="0"/>
        <v>75017708836.936035</v>
      </c>
      <c r="J7" s="66">
        <f t="shared" si="0"/>
        <v>74942852600.936035</v>
      </c>
      <c r="K7" s="66">
        <f t="shared" si="0"/>
        <v>74863656901.424042</v>
      </c>
      <c r="L7" s="66">
        <f t="shared" si="0"/>
        <v>74863656901.424042</v>
      </c>
      <c r="M7" s="66">
        <f t="shared" si="0"/>
        <v>74863656901.424042</v>
      </c>
      <c r="N7" s="66">
        <f t="shared" si="0"/>
        <v>74863656901.424042</v>
      </c>
      <c r="O7" s="66">
        <f t="shared" si="0"/>
        <v>73614392216.11203</v>
      </c>
      <c r="P7" s="66">
        <f t="shared" si="0"/>
        <v>72247246068.906036</v>
      </c>
      <c r="Q7" s="66">
        <f t="shared" si="0"/>
        <v>72247246068.906036</v>
      </c>
      <c r="R7" s="66">
        <f t="shared" si="0"/>
        <v>72247246068.906036</v>
      </c>
      <c r="S7" s="66">
        <f t="shared" si="0"/>
        <v>72247246068.906036</v>
      </c>
      <c r="T7" s="66">
        <f t="shared" si="0"/>
        <v>72247246068.906036</v>
      </c>
      <c r="U7" s="66">
        <f t="shared" si="0"/>
        <v>72247246068.906036</v>
      </c>
      <c r="V7" s="66">
        <f t="shared" si="0"/>
        <v>72247246068.906036</v>
      </c>
      <c r="W7" s="66">
        <f t="shared" si="0"/>
        <v>72247246068.906036</v>
      </c>
      <c r="X7" s="66">
        <f t="shared" si="0"/>
        <v>72247246068.906036</v>
      </c>
      <c r="Y7" s="66">
        <f>SUM(E7:X7)</f>
        <v>1400500821164.686</v>
      </c>
      <c r="Z7" s="67"/>
    </row>
    <row r="8" spans="1:26" s="71" customFormat="1" x14ac:dyDescent="0.2">
      <c r="A8" s="68"/>
      <c r="B8" s="69" t="str">
        <f>'PPP_V3_y Costos'!D6</f>
        <v>3.1. Promoción y fortalecimiento de organizaciones de economía solidaria en la cadena de maíz.</v>
      </c>
      <c r="C8" s="329" t="s">
        <v>235</v>
      </c>
      <c r="D8" s="329" t="s">
        <v>244</v>
      </c>
      <c r="E8" s="330">
        <f>I33*3</f>
        <v>239430830</v>
      </c>
      <c r="F8" s="145">
        <f>H33</f>
        <v>957723320</v>
      </c>
      <c r="G8" s="145">
        <f>F8</f>
        <v>957723320</v>
      </c>
      <c r="H8" s="145">
        <f>G8</f>
        <v>957723320</v>
      </c>
      <c r="I8" s="145">
        <f>H8</f>
        <v>957723320</v>
      </c>
      <c r="J8" s="145">
        <f>H34</f>
        <v>1457723320</v>
      </c>
      <c r="K8" s="145">
        <f>H34</f>
        <v>1457723320</v>
      </c>
      <c r="L8" s="145">
        <f>K8</f>
        <v>1457723320</v>
      </c>
      <c r="M8" s="145">
        <f>L8</f>
        <v>1457723320</v>
      </c>
      <c r="N8" s="145">
        <f>M8</f>
        <v>1457723320</v>
      </c>
      <c r="O8" s="145">
        <f>N8</f>
        <v>1457723320</v>
      </c>
      <c r="P8" s="145">
        <f>O8</f>
        <v>1457723320</v>
      </c>
      <c r="Q8" s="145">
        <f>O8</f>
        <v>1457723320</v>
      </c>
      <c r="R8" s="145">
        <f>Q8</f>
        <v>1457723320</v>
      </c>
      <c r="S8" s="145">
        <f>R8</f>
        <v>1457723320</v>
      </c>
      <c r="T8" s="145">
        <f>P8</f>
        <v>1457723320</v>
      </c>
      <c r="U8" s="145">
        <f>R8</f>
        <v>1457723320</v>
      </c>
      <c r="V8" s="145">
        <f t="shared" ref="V8:W10" si="1">U8</f>
        <v>1457723320</v>
      </c>
      <c r="W8" s="145">
        <f t="shared" si="1"/>
        <v>1457723320</v>
      </c>
      <c r="X8" s="145">
        <f>S8</f>
        <v>1457723320</v>
      </c>
      <c r="Y8" s="70">
        <f>SUM(E8:X8)</f>
        <v>25936173910</v>
      </c>
      <c r="Z8" s="67"/>
    </row>
    <row r="9" spans="1:26" s="71" customFormat="1" x14ac:dyDescent="0.2">
      <c r="A9" s="68"/>
      <c r="B9" s="69" t="str">
        <f>'PPP_V3_y Costos'!D7</f>
        <v>3.2. Promoción de la integración y las alianzas estratégicas regionales en la cadena de maíz.</v>
      </c>
      <c r="C9" s="329" t="s">
        <v>235</v>
      </c>
      <c r="D9" s="329" t="s">
        <v>244</v>
      </c>
      <c r="E9" s="145">
        <f>I60*3</f>
        <v>605460671.5</v>
      </c>
      <c r="F9" s="145">
        <f>H60</f>
        <v>2421842686</v>
      </c>
      <c r="G9" s="145">
        <f t="shared" ref="G9:I10" si="2">F9</f>
        <v>2421842686</v>
      </c>
      <c r="H9" s="145">
        <f t="shared" si="2"/>
        <v>2421842686</v>
      </c>
      <c r="I9" s="145">
        <f t="shared" si="2"/>
        <v>2421842686</v>
      </c>
      <c r="J9" s="145">
        <f>H62</f>
        <v>1846986450</v>
      </c>
      <c r="K9" s="145">
        <f t="shared" ref="K9:N10" si="3">J9</f>
        <v>1846986450</v>
      </c>
      <c r="L9" s="145">
        <f t="shared" si="3"/>
        <v>1846986450</v>
      </c>
      <c r="M9" s="145">
        <f t="shared" si="3"/>
        <v>1846986450</v>
      </c>
      <c r="N9" s="145">
        <f t="shared" si="3"/>
        <v>1846986450</v>
      </c>
      <c r="O9" s="145">
        <f>N9</f>
        <v>1846986450</v>
      </c>
      <c r="P9" s="145">
        <f>O9</f>
        <v>1846986450</v>
      </c>
      <c r="Q9" s="145">
        <f t="shared" ref="Q9:R11" si="4">P9</f>
        <v>1846986450</v>
      </c>
      <c r="R9" s="145">
        <f t="shared" si="4"/>
        <v>1846986450</v>
      </c>
      <c r="S9" s="145">
        <f t="shared" ref="S9:U10" si="5">R9</f>
        <v>1846986450</v>
      </c>
      <c r="T9" s="145">
        <f t="shared" si="5"/>
        <v>1846986450</v>
      </c>
      <c r="U9" s="145">
        <f t="shared" si="5"/>
        <v>1846986450</v>
      </c>
      <c r="V9" s="145">
        <f t="shared" si="1"/>
        <v>1846986450</v>
      </c>
      <c r="W9" s="145">
        <f t="shared" si="1"/>
        <v>1846986450</v>
      </c>
      <c r="X9" s="145">
        <f>W9</f>
        <v>1846986450</v>
      </c>
      <c r="Y9" s="70">
        <f t="shared" ref="Y9:Y12" si="6">SUM(E9:X9)</f>
        <v>37997628165.5</v>
      </c>
      <c r="Z9" s="67"/>
    </row>
    <row r="10" spans="1:26" s="71" customFormat="1" ht="28.5" x14ac:dyDescent="0.2">
      <c r="A10" s="68"/>
      <c r="B10" s="69" t="str">
        <f>'PPP_V3_y Costos'!D8</f>
        <v>3.3. Aumento de la capacidad instalada regional para el secamiento, almacenamiento, y  procesamiento agroindustrial de maíz.</v>
      </c>
      <c r="C10" s="329" t="s">
        <v>235</v>
      </c>
      <c r="D10" s="329" t="s">
        <v>244</v>
      </c>
      <c r="E10" s="145">
        <f>I87*3</f>
        <v>341786536.80149841</v>
      </c>
      <c r="F10" s="145">
        <f>H89</f>
        <v>68813185862.992035</v>
      </c>
      <c r="G10" s="145">
        <f t="shared" si="2"/>
        <v>68813185862.992035</v>
      </c>
      <c r="H10" s="145">
        <f t="shared" si="2"/>
        <v>68813185862.992035</v>
      </c>
      <c r="I10" s="145">
        <f t="shared" si="2"/>
        <v>68813185862.992035</v>
      </c>
      <c r="J10" s="145">
        <f>I10</f>
        <v>68813185862.992035</v>
      </c>
      <c r="K10" s="145">
        <f t="shared" si="3"/>
        <v>68813185862.992035</v>
      </c>
      <c r="L10" s="145">
        <f t="shared" si="3"/>
        <v>68813185862.992035</v>
      </c>
      <c r="M10" s="145">
        <f t="shared" si="3"/>
        <v>68813185862.992035</v>
      </c>
      <c r="N10" s="145">
        <f t="shared" si="3"/>
        <v>68813185862.992035</v>
      </c>
      <c r="O10" s="145">
        <f>N10</f>
        <v>68813185862.992035</v>
      </c>
      <c r="P10" s="145">
        <f>H90</f>
        <v>67446039715.786041</v>
      </c>
      <c r="Q10" s="145">
        <f t="shared" si="4"/>
        <v>67446039715.786041</v>
      </c>
      <c r="R10" s="145">
        <f t="shared" si="4"/>
        <v>67446039715.786041</v>
      </c>
      <c r="S10" s="145">
        <f t="shared" si="5"/>
        <v>67446039715.786041</v>
      </c>
      <c r="T10" s="145">
        <f t="shared" si="5"/>
        <v>67446039715.786041</v>
      </c>
      <c r="U10" s="145">
        <f t="shared" si="5"/>
        <v>67446039715.786041</v>
      </c>
      <c r="V10" s="145">
        <f t="shared" si="1"/>
        <v>67446039715.786041</v>
      </c>
      <c r="W10" s="145">
        <f t="shared" si="1"/>
        <v>67446039715.786041</v>
      </c>
      <c r="X10" s="145">
        <f>W10</f>
        <v>67446039715.786041</v>
      </c>
      <c r="Y10" s="70">
        <f t="shared" si="6"/>
        <v>1295488002608.7964</v>
      </c>
      <c r="Z10" s="67"/>
    </row>
    <row r="11" spans="1:26" s="71" customFormat="1" x14ac:dyDescent="0.2">
      <c r="A11" s="68"/>
      <c r="B11" s="69" t="str">
        <f>'PPP_V3_y Costos'!D9</f>
        <v xml:space="preserve">3.4. Fortalecimiento de la oferta de insumos y servicios asociados a la cadena. </v>
      </c>
      <c r="C11" s="329" t="s">
        <v>235</v>
      </c>
      <c r="D11" s="329" t="s">
        <v>244</v>
      </c>
      <c r="E11" s="146">
        <f>I117*3</f>
        <v>556248495.10800004</v>
      </c>
      <c r="F11" s="70">
        <f>+H117</f>
        <v>2224993980.4320002</v>
      </c>
      <c r="G11" s="70">
        <f>+F11</f>
        <v>2224993980.4320002</v>
      </c>
      <c r="H11" s="70">
        <f>+G11</f>
        <v>2224993980.4320002</v>
      </c>
      <c r="I11" s="70">
        <f>+H11</f>
        <v>2224993980.4320002</v>
      </c>
      <c r="J11" s="70">
        <f>I11</f>
        <v>2224993980.4320002</v>
      </c>
      <c r="K11" s="70">
        <f>+J11</f>
        <v>2224993980.4320002</v>
      </c>
      <c r="L11" s="70">
        <f t="shared" ref="L11:N11" si="7">+K11</f>
        <v>2224993980.4320002</v>
      </c>
      <c r="M11" s="70">
        <f t="shared" si="7"/>
        <v>2224993980.4320002</v>
      </c>
      <c r="N11" s="70">
        <f t="shared" si="7"/>
        <v>2224993980.4320002</v>
      </c>
      <c r="O11" s="70">
        <f>H118</f>
        <v>975729295.12</v>
      </c>
      <c r="P11" s="70">
        <f>O11</f>
        <v>975729295.12</v>
      </c>
      <c r="Q11" s="70">
        <f t="shared" si="4"/>
        <v>975729295.12</v>
      </c>
      <c r="R11" s="70">
        <f t="shared" si="4"/>
        <v>975729295.12</v>
      </c>
      <c r="S11" s="70">
        <f>R11</f>
        <v>975729295.12</v>
      </c>
      <c r="T11" s="70">
        <f>S11</f>
        <v>975729295.12</v>
      </c>
      <c r="U11" s="70">
        <f>T11</f>
        <v>975729295.12</v>
      </c>
      <c r="V11" s="70">
        <f>U11</f>
        <v>975729295.12</v>
      </c>
      <c r="W11" s="70">
        <f>V11</f>
        <v>975729295.12</v>
      </c>
      <c r="X11" s="70">
        <f>W11</f>
        <v>975729295.12</v>
      </c>
      <c r="Y11" s="70">
        <f t="shared" si="6"/>
        <v>30338487270.195988</v>
      </c>
      <c r="Z11" s="67"/>
    </row>
    <row r="12" spans="1:26" s="71" customFormat="1" x14ac:dyDescent="0.2">
      <c r="A12" s="68"/>
      <c r="B12" s="69" t="str">
        <f>'PPP_V3_y Costos'!D10</f>
        <v>3.5. Mejora del entorno productivo para las grandes inversiones en las regiones maiceras.</v>
      </c>
      <c r="C12" s="329" t="s">
        <v>406</v>
      </c>
      <c r="D12" s="329" t="s">
        <v>244</v>
      </c>
      <c r="E12" s="146">
        <f>+I133*9</f>
        <v>449972240.63399994</v>
      </c>
      <c r="F12" s="70">
        <f>+$H$133</f>
        <v>599962987.51199996</v>
      </c>
      <c r="G12" s="70">
        <f>+$H$133</f>
        <v>599962987.51199996</v>
      </c>
      <c r="H12" s="70">
        <f>+$H$133</f>
        <v>599962987.51199996</v>
      </c>
      <c r="I12" s="70">
        <f>+$H$133</f>
        <v>599962987.51199996</v>
      </c>
      <c r="J12" s="70">
        <f>+$H$133</f>
        <v>599962987.51199996</v>
      </c>
      <c r="K12" s="70">
        <f t="shared" ref="K12:X12" si="8">+$H$134</f>
        <v>520767288</v>
      </c>
      <c r="L12" s="70">
        <f t="shared" si="8"/>
        <v>520767288</v>
      </c>
      <c r="M12" s="70">
        <f t="shared" si="8"/>
        <v>520767288</v>
      </c>
      <c r="N12" s="70">
        <f t="shared" si="8"/>
        <v>520767288</v>
      </c>
      <c r="O12" s="70">
        <f t="shared" si="8"/>
        <v>520767288</v>
      </c>
      <c r="P12" s="70">
        <f t="shared" si="8"/>
        <v>520767288</v>
      </c>
      <c r="Q12" s="70">
        <f t="shared" si="8"/>
        <v>520767288</v>
      </c>
      <c r="R12" s="70">
        <f t="shared" si="8"/>
        <v>520767288</v>
      </c>
      <c r="S12" s="70">
        <f t="shared" si="8"/>
        <v>520767288</v>
      </c>
      <c r="T12" s="70">
        <f t="shared" si="8"/>
        <v>520767288</v>
      </c>
      <c r="U12" s="70">
        <f t="shared" si="8"/>
        <v>520767288</v>
      </c>
      <c r="V12" s="70">
        <f t="shared" si="8"/>
        <v>520767288</v>
      </c>
      <c r="W12" s="70">
        <f t="shared" si="8"/>
        <v>520767288</v>
      </c>
      <c r="X12" s="70">
        <f t="shared" si="8"/>
        <v>520767288</v>
      </c>
      <c r="Y12" s="70">
        <f t="shared" si="6"/>
        <v>10740529210.194</v>
      </c>
      <c r="Z12" s="67"/>
    </row>
    <row r="13" spans="1:26" s="40" customFormat="1" ht="24.75" customHeight="1" x14ac:dyDescent="0.25">
      <c r="A13" s="102"/>
      <c r="B13" s="64" t="s">
        <v>33</v>
      </c>
      <c r="C13" s="64"/>
      <c r="D13" s="64"/>
      <c r="E13" s="72">
        <f>SUM(E8:E12)</f>
        <v>2192898774.0434985</v>
      </c>
      <c r="F13" s="72">
        <f t="shared" ref="F13:Y13" si="9">SUM(F8:F12)</f>
        <v>75017708836.936035</v>
      </c>
      <c r="G13" s="72">
        <f t="shared" si="9"/>
        <v>75017708836.936035</v>
      </c>
      <c r="H13" s="72">
        <f t="shared" si="9"/>
        <v>75017708836.936035</v>
      </c>
      <c r="I13" s="72">
        <f t="shared" si="9"/>
        <v>75017708836.936035</v>
      </c>
      <c r="J13" s="72">
        <f t="shared" si="9"/>
        <v>74942852600.936035</v>
      </c>
      <c r="K13" s="72">
        <f t="shared" si="9"/>
        <v>74863656901.424042</v>
      </c>
      <c r="L13" s="72">
        <f t="shared" si="9"/>
        <v>74863656901.424042</v>
      </c>
      <c r="M13" s="72">
        <f t="shared" si="9"/>
        <v>74863656901.424042</v>
      </c>
      <c r="N13" s="72">
        <f t="shared" si="9"/>
        <v>74863656901.424042</v>
      </c>
      <c r="O13" s="72">
        <f t="shared" si="9"/>
        <v>73614392216.11203</v>
      </c>
      <c r="P13" s="72">
        <f t="shared" si="9"/>
        <v>72247246068.906036</v>
      </c>
      <c r="Q13" s="72">
        <f t="shared" si="9"/>
        <v>72247246068.906036</v>
      </c>
      <c r="R13" s="72">
        <f t="shared" si="9"/>
        <v>72247246068.906036</v>
      </c>
      <c r="S13" s="72">
        <f t="shared" si="9"/>
        <v>72247246068.906036</v>
      </c>
      <c r="T13" s="72">
        <f t="shared" si="9"/>
        <v>72247246068.906036</v>
      </c>
      <c r="U13" s="72">
        <f t="shared" si="9"/>
        <v>72247246068.906036</v>
      </c>
      <c r="V13" s="72">
        <f t="shared" si="9"/>
        <v>72247246068.906036</v>
      </c>
      <c r="W13" s="72">
        <f t="shared" si="9"/>
        <v>72247246068.906036</v>
      </c>
      <c r="X13" s="72">
        <f t="shared" si="9"/>
        <v>72247246068.906036</v>
      </c>
      <c r="Y13" s="72">
        <f t="shared" si="9"/>
        <v>1400500821164.6865</v>
      </c>
      <c r="Z13" s="67"/>
    </row>
    <row r="14" spans="1:26" s="76" customFormat="1" ht="24.75" customHeight="1" x14ac:dyDescent="0.25">
      <c r="A14" s="103"/>
      <c r="B14" s="73"/>
      <c r="C14" s="73"/>
      <c r="D14" s="73"/>
      <c r="E14" s="73"/>
      <c r="F14" s="74"/>
      <c r="G14" s="75"/>
      <c r="H14" s="74"/>
      <c r="I14" s="74"/>
      <c r="J14" s="74"/>
      <c r="K14" s="74"/>
      <c r="L14" s="74"/>
      <c r="M14" s="74"/>
      <c r="N14" s="74"/>
      <c r="O14" s="74"/>
      <c r="P14" s="74"/>
      <c r="Q14" s="74"/>
      <c r="R14" s="74"/>
      <c r="S14" s="74"/>
      <c r="T14" s="74"/>
      <c r="U14" s="74"/>
      <c r="V14" s="74"/>
      <c r="W14" s="74"/>
      <c r="X14" s="74"/>
      <c r="Y14" s="74"/>
      <c r="Z14" s="74"/>
    </row>
    <row r="15" spans="1:26" s="103" customFormat="1" ht="14.45" customHeight="1" x14ac:dyDescent="0.25">
      <c r="B15" s="717" t="str">
        <f>B8</f>
        <v>3.1. Promoción y fortalecimiento de organizaciones de economía solidaria en la cadena de maíz.</v>
      </c>
      <c r="C15" s="718"/>
      <c r="D15" s="718"/>
      <c r="E15" s="718"/>
      <c r="F15" s="718"/>
      <c r="G15" s="718"/>
      <c r="H15" s="718"/>
      <c r="I15" s="316"/>
      <c r="X15" s="78"/>
    </row>
    <row r="16" spans="1:26" s="103" customFormat="1" ht="14.45" customHeight="1" x14ac:dyDescent="0.25">
      <c r="B16" s="719"/>
      <c r="C16" s="719"/>
      <c r="D16" s="719"/>
      <c r="E16" s="719"/>
      <c r="F16" s="719"/>
      <c r="G16" s="719"/>
      <c r="H16" s="719"/>
      <c r="I16" s="316"/>
      <c r="X16" s="78"/>
    </row>
    <row r="17" spans="2:24" ht="15" x14ac:dyDescent="0.25">
      <c r="B17" s="79" t="s">
        <v>79</v>
      </c>
      <c r="C17" s="79" t="s">
        <v>59</v>
      </c>
      <c r="D17" s="79" t="s">
        <v>56</v>
      </c>
      <c r="E17" s="79" t="s">
        <v>55</v>
      </c>
      <c r="F17" s="80" t="s">
        <v>108</v>
      </c>
      <c r="G17" s="79" t="s">
        <v>81</v>
      </c>
      <c r="H17" s="79" t="s">
        <v>82</v>
      </c>
      <c r="X17" s="81"/>
    </row>
    <row r="18" spans="2:24" x14ac:dyDescent="0.2">
      <c r="B18" s="104" t="s">
        <v>240</v>
      </c>
      <c r="C18" s="54">
        <v>10</v>
      </c>
      <c r="D18" s="104" t="s">
        <v>84</v>
      </c>
      <c r="E18" s="45">
        <v>500000</v>
      </c>
      <c r="F18" s="104"/>
      <c r="G18" s="104"/>
      <c r="H18" s="147">
        <f t="shared" ref="H18:H25" si="10">+E18*C18</f>
        <v>5000000</v>
      </c>
      <c r="J18" s="53"/>
    </row>
    <row r="19" spans="2:24" x14ac:dyDescent="0.2">
      <c r="B19" s="104" t="s">
        <v>238</v>
      </c>
      <c r="C19" s="54">
        <v>10</v>
      </c>
      <c r="D19" s="104" t="s">
        <v>84</v>
      </c>
      <c r="E19" s="45">
        <v>100000</v>
      </c>
      <c r="F19" s="104"/>
      <c r="G19" s="104"/>
      <c r="H19" s="147">
        <f t="shared" si="10"/>
        <v>1000000</v>
      </c>
      <c r="J19" s="53"/>
    </row>
    <row r="20" spans="2:24" x14ac:dyDescent="0.2">
      <c r="B20" s="104" t="s">
        <v>245</v>
      </c>
      <c r="C20" s="54">
        <f>10*2</f>
        <v>20</v>
      </c>
      <c r="D20" s="104" t="s">
        <v>84</v>
      </c>
      <c r="E20" s="45">
        <v>2300000</v>
      </c>
      <c r="F20" s="104"/>
      <c r="G20" s="104"/>
      <c r="H20" s="147">
        <f t="shared" si="10"/>
        <v>46000000</v>
      </c>
      <c r="J20" s="53"/>
    </row>
    <row r="21" spans="2:24" x14ac:dyDescent="0.2">
      <c r="B21" s="104" t="s">
        <v>246</v>
      </c>
      <c r="C21" s="54">
        <v>20</v>
      </c>
      <c r="D21" s="104" t="s">
        <v>84</v>
      </c>
      <c r="E21" s="45">
        <v>460000</v>
      </c>
      <c r="F21" s="104"/>
      <c r="G21" s="104"/>
      <c r="H21" s="147">
        <f t="shared" si="10"/>
        <v>9200000</v>
      </c>
      <c r="J21" s="53"/>
    </row>
    <row r="22" spans="2:24" x14ac:dyDescent="0.2">
      <c r="B22" s="104" t="s">
        <v>242</v>
      </c>
      <c r="C22" s="54">
        <v>10</v>
      </c>
      <c r="D22" s="104" t="s">
        <v>84</v>
      </c>
      <c r="E22" s="109">
        <v>3270000</v>
      </c>
      <c r="F22" s="104"/>
      <c r="G22" s="104"/>
      <c r="H22" s="147">
        <f t="shared" si="10"/>
        <v>32700000</v>
      </c>
      <c r="J22" s="53"/>
    </row>
    <row r="23" spans="2:24" x14ac:dyDescent="0.2">
      <c r="B23" s="104" t="s">
        <v>87</v>
      </c>
      <c r="C23" s="54">
        <v>10</v>
      </c>
      <c r="D23" s="104" t="s">
        <v>76</v>
      </c>
      <c r="E23" s="109">
        <v>6000000</v>
      </c>
      <c r="F23" s="104"/>
      <c r="G23" s="104"/>
      <c r="H23" s="147">
        <f t="shared" si="10"/>
        <v>60000000</v>
      </c>
      <c r="J23" s="53"/>
    </row>
    <row r="24" spans="2:24" x14ac:dyDescent="0.2">
      <c r="B24" s="104" t="s">
        <v>88</v>
      </c>
      <c r="C24" s="54">
        <v>10</v>
      </c>
      <c r="D24" s="104" t="s">
        <v>76</v>
      </c>
      <c r="E24" s="109">
        <v>1800000</v>
      </c>
      <c r="F24" s="104"/>
      <c r="G24" s="104"/>
      <c r="H24" s="147">
        <f t="shared" si="10"/>
        <v>18000000</v>
      </c>
      <c r="J24" s="53"/>
    </row>
    <row r="25" spans="2:24" s="103" customFormat="1" x14ac:dyDescent="0.2">
      <c r="B25" s="49" t="s">
        <v>188</v>
      </c>
      <c r="C25" s="137">
        <v>10</v>
      </c>
      <c r="D25" s="49" t="s">
        <v>84</v>
      </c>
      <c r="E25" s="150">
        <v>14500000</v>
      </c>
      <c r="F25" s="49"/>
      <c r="G25" s="49"/>
      <c r="H25" s="151">
        <f t="shared" si="10"/>
        <v>145000000</v>
      </c>
      <c r="J25" s="138"/>
    </row>
    <row r="26" spans="2:24" s="103" customFormat="1" x14ac:dyDescent="0.2">
      <c r="B26" s="49" t="s">
        <v>232</v>
      </c>
      <c r="C26" s="137">
        <v>10</v>
      </c>
      <c r="D26" s="49" t="s">
        <v>84</v>
      </c>
      <c r="E26" s="150">
        <v>5000000</v>
      </c>
      <c r="F26" s="49"/>
      <c r="G26" s="49"/>
      <c r="H26" s="151">
        <f>+E26*C26</f>
        <v>50000000</v>
      </c>
      <c r="J26" s="138"/>
    </row>
    <row r="27" spans="2:24" x14ac:dyDescent="0.2">
      <c r="B27" s="104" t="s">
        <v>90</v>
      </c>
      <c r="C27" s="54">
        <v>2</v>
      </c>
      <c r="D27" s="104" t="s">
        <v>267</v>
      </c>
      <c r="E27" s="45">
        <v>8963563</v>
      </c>
      <c r="F27" s="98"/>
      <c r="G27" s="104">
        <v>10</v>
      </c>
      <c r="H27" s="147">
        <f>C27*E27*G27</f>
        <v>179271260</v>
      </c>
      <c r="I27" s="148"/>
      <c r="J27" s="138"/>
    </row>
    <row r="28" spans="2:24" x14ac:dyDescent="0.2">
      <c r="B28" s="104" t="s">
        <v>241</v>
      </c>
      <c r="C28" s="54">
        <v>10</v>
      </c>
      <c r="D28" s="104" t="s">
        <v>267</v>
      </c>
      <c r="E28" s="109">
        <v>856561</v>
      </c>
      <c r="F28" s="98"/>
      <c r="G28" s="104"/>
      <c r="H28" s="147">
        <f>C28*E28</f>
        <v>8565610</v>
      </c>
      <c r="J28" s="53"/>
    </row>
    <row r="29" spans="2:24" x14ac:dyDescent="0.2">
      <c r="B29" s="104" t="s">
        <v>243</v>
      </c>
      <c r="C29" s="55">
        <v>10</v>
      </c>
      <c r="D29" s="104" t="s">
        <v>267</v>
      </c>
      <c r="E29" s="45">
        <v>6604729</v>
      </c>
      <c r="F29" s="98">
        <v>0.5</v>
      </c>
      <c r="G29" s="104">
        <v>10</v>
      </c>
      <c r="H29" s="147">
        <f>C29*E29*G29*F29</f>
        <v>330236450</v>
      </c>
      <c r="I29" s="148"/>
      <c r="J29" s="138"/>
    </row>
    <row r="30" spans="2:24" x14ac:dyDescent="0.2">
      <c r="B30" s="82" t="s">
        <v>57</v>
      </c>
      <c r="C30" s="55">
        <v>10</v>
      </c>
      <c r="D30" s="104" t="s">
        <v>267</v>
      </c>
      <c r="E30" s="109">
        <v>1300000</v>
      </c>
      <c r="F30" s="98">
        <v>0.5</v>
      </c>
      <c r="G30" s="104">
        <v>10</v>
      </c>
      <c r="H30" s="147">
        <f t="shared" ref="H30:H31" si="11">C30*E30*G30*F30</f>
        <v>65000000</v>
      </c>
      <c r="I30" s="148"/>
      <c r="J30" s="138"/>
    </row>
    <row r="31" spans="2:24" x14ac:dyDescent="0.2">
      <c r="B31" s="104" t="s">
        <v>194</v>
      </c>
      <c r="C31" s="54">
        <v>10</v>
      </c>
      <c r="D31" s="104" t="s">
        <v>267</v>
      </c>
      <c r="E31" s="109">
        <v>155000</v>
      </c>
      <c r="F31" s="98">
        <v>0.5</v>
      </c>
      <c r="G31" s="104">
        <v>10</v>
      </c>
      <c r="H31" s="147">
        <f t="shared" si="11"/>
        <v>7750000</v>
      </c>
      <c r="J31" s="53"/>
    </row>
    <row r="32" spans="2:24" ht="15" x14ac:dyDescent="0.25">
      <c r="B32" s="104" t="s">
        <v>421</v>
      </c>
      <c r="C32" s="54">
        <v>10</v>
      </c>
      <c r="D32" s="104"/>
      <c r="E32" s="109">
        <v>500000000</v>
      </c>
      <c r="F32" s="98"/>
      <c r="G32" s="370">
        <v>0.1</v>
      </c>
      <c r="H32" s="147">
        <f>C32*E32*G32</f>
        <v>500000000</v>
      </c>
      <c r="I32" s="99" t="s">
        <v>174</v>
      </c>
      <c r="J32" s="53"/>
    </row>
    <row r="33" spans="1:11" ht="15" x14ac:dyDescent="0.25">
      <c r="B33" s="86" t="s">
        <v>409</v>
      </c>
      <c r="C33" s="87"/>
      <c r="D33" s="87"/>
      <c r="E33" s="88"/>
      <c r="F33" s="88"/>
      <c r="G33" s="87"/>
      <c r="H33" s="99">
        <f>SUM(H18:H31)</f>
        <v>957723320</v>
      </c>
      <c r="I33" s="99">
        <f>H33/12</f>
        <v>79810276.666666672</v>
      </c>
      <c r="J33" s="138"/>
      <c r="K33" s="148"/>
    </row>
    <row r="34" spans="1:11" s="314" customFormat="1" ht="15" x14ac:dyDescent="0.25">
      <c r="B34" s="335" t="s">
        <v>376</v>
      </c>
      <c r="H34" s="335">
        <f>H33+H32</f>
        <v>1457723320</v>
      </c>
      <c r="I34" s="148"/>
      <c r="J34" s="138"/>
      <c r="K34" s="148"/>
    </row>
    <row r="35" spans="1:11" s="103" customFormat="1" ht="196.5" customHeight="1" x14ac:dyDescent="0.2">
      <c r="B35" s="219" t="s">
        <v>422</v>
      </c>
      <c r="C35" s="314"/>
      <c r="D35" s="314"/>
      <c r="E35" s="314"/>
      <c r="F35" s="314"/>
      <c r="G35" s="314"/>
      <c r="H35" s="148"/>
      <c r="I35" s="148"/>
      <c r="J35" s="148"/>
      <c r="K35" s="148"/>
    </row>
    <row r="36" spans="1:11" x14ac:dyDescent="0.2">
      <c r="B36" s="314"/>
      <c r="C36" s="314"/>
      <c r="D36" s="314"/>
      <c r="E36" s="314"/>
      <c r="F36" s="314"/>
      <c r="G36" s="314"/>
      <c r="H36" s="103"/>
      <c r="I36" s="103"/>
    </row>
    <row r="37" spans="1:11" ht="15" x14ac:dyDescent="0.25">
      <c r="B37" s="314"/>
      <c r="C37" s="314"/>
      <c r="D37" s="314"/>
      <c r="E37" s="314"/>
      <c r="F37" s="314"/>
      <c r="G37" s="314"/>
      <c r="H37" s="314"/>
      <c r="I37" s="91"/>
    </row>
    <row r="38" spans="1:11" s="103" customFormat="1" ht="14.45" customHeight="1" x14ac:dyDescent="0.25">
      <c r="A38" s="92"/>
      <c r="B38" s="717" t="str">
        <f>+B9</f>
        <v>3.2. Promoción de la integración y las alianzas estratégicas regionales en la cadena de maíz.</v>
      </c>
      <c r="C38" s="717"/>
      <c r="D38" s="717"/>
      <c r="E38" s="717"/>
      <c r="F38" s="717"/>
      <c r="G38" s="717"/>
      <c r="H38" s="717"/>
    </row>
    <row r="39" spans="1:11" hidden="1" x14ac:dyDescent="0.2">
      <c r="B39" s="314"/>
      <c r="C39" s="314"/>
      <c r="D39" s="314"/>
      <c r="E39" s="314"/>
      <c r="F39" s="314"/>
      <c r="G39" s="314"/>
      <c r="H39" s="314"/>
    </row>
    <row r="40" spans="1:11" ht="15" x14ac:dyDescent="0.25">
      <c r="B40" s="79" t="s">
        <v>79</v>
      </c>
      <c r="C40" s="79" t="s">
        <v>59</v>
      </c>
      <c r="D40" s="79" t="s">
        <v>56</v>
      </c>
      <c r="E40" s="79" t="s">
        <v>55</v>
      </c>
      <c r="F40" s="79" t="s">
        <v>80</v>
      </c>
      <c r="G40" s="79" t="s">
        <v>81</v>
      </c>
      <c r="H40" s="79" t="s">
        <v>82</v>
      </c>
    </row>
    <row r="41" spans="1:11" s="103" customFormat="1" x14ac:dyDescent="0.2">
      <c r="A41" s="93"/>
      <c r="B41" s="105" t="s">
        <v>247</v>
      </c>
      <c r="C41" s="105">
        <v>10</v>
      </c>
      <c r="D41" s="105" t="s">
        <v>84</v>
      </c>
      <c r="E41" s="82">
        <v>500000</v>
      </c>
      <c r="F41" s="105"/>
      <c r="G41" s="105"/>
      <c r="H41" s="147">
        <f>+E41*C41</f>
        <v>5000000</v>
      </c>
      <c r="I41" s="85"/>
      <c r="J41" s="53"/>
    </row>
    <row r="42" spans="1:11" s="103" customFormat="1" x14ac:dyDescent="0.2">
      <c r="A42" s="93"/>
      <c r="B42" s="105" t="s">
        <v>85</v>
      </c>
      <c r="C42" s="105">
        <v>10</v>
      </c>
      <c r="D42" s="105" t="s">
        <v>84</v>
      </c>
      <c r="E42" s="82">
        <v>100000</v>
      </c>
      <c r="F42" s="105"/>
      <c r="G42" s="105"/>
      <c r="H42" s="147">
        <f t="shared" ref="H42:H48" si="12">+E42*C42</f>
        <v>1000000</v>
      </c>
      <c r="I42" s="85"/>
      <c r="J42" s="138"/>
    </row>
    <row r="43" spans="1:11" s="103" customFormat="1" x14ac:dyDescent="0.2">
      <c r="A43" s="93"/>
      <c r="B43" s="398" t="s">
        <v>245</v>
      </c>
      <c r="C43" s="105">
        <f>2*2*4</f>
        <v>16</v>
      </c>
      <c r="D43" s="105" t="s">
        <v>84</v>
      </c>
      <c r="E43" s="82">
        <v>2300000</v>
      </c>
      <c r="F43" s="105"/>
      <c r="G43" s="105"/>
      <c r="H43" s="147">
        <f t="shared" si="12"/>
        <v>36800000</v>
      </c>
      <c r="I43" s="44"/>
      <c r="J43" s="138"/>
    </row>
    <row r="44" spans="1:11" s="103" customFormat="1" x14ac:dyDescent="0.2">
      <c r="A44" s="93"/>
      <c r="B44" s="105" t="s">
        <v>246</v>
      </c>
      <c r="C44" s="105">
        <v>8</v>
      </c>
      <c r="D44" s="105" t="s">
        <v>84</v>
      </c>
      <c r="E44" s="82">
        <v>460000</v>
      </c>
      <c r="F44" s="105"/>
      <c r="G44" s="105"/>
      <c r="H44" s="147">
        <f t="shared" si="12"/>
        <v>3680000</v>
      </c>
      <c r="I44" s="44"/>
      <c r="J44" s="138"/>
    </row>
    <row r="45" spans="1:11" s="103" customFormat="1" x14ac:dyDescent="0.2">
      <c r="B45" s="398" t="s">
        <v>250</v>
      </c>
      <c r="C45" s="105">
        <f>2*4</f>
        <v>8</v>
      </c>
      <c r="D45" s="105" t="s">
        <v>76</v>
      </c>
      <c r="E45" s="82">
        <v>6000000</v>
      </c>
      <c r="F45" s="105"/>
      <c r="G45" s="105"/>
      <c r="H45" s="147">
        <f t="shared" si="12"/>
        <v>48000000</v>
      </c>
      <c r="I45" s="44"/>
      <c r="J45" s="138"/>
    </row>
    <row r="46" spans="1:11" s="103" customFormat="1" x14ac:dyDescent="0.2">
      <c r="B46" s="398" t="s">
        <v>88</v>
      </c>
      <c r="C46" s="105">
        <v>8</v>
      </c>
      <c r="D46" s="105" t="s">
        <v>76</v>
      </c>
      <c r="E46" s="82">
        <v>1800000</v>
      </c>
      <c r="F46" s="105"/>
      <c r="G46" s="105"/>
      <c r="H46" s="147">
        <f t="shared" si="12"/>
        <v>14400000</v>
      </c>
      <c r="I46" s="44"/>
      <c r="J46" s="138"/>
    </row>
    <row r="47" spans="1:11" s="103" customFormat="1" x14ac:dyDescent="0.2">
      <c r="A47" s="93"/>
      <c r="B47" s="105" t="s">
        <v>252</v>
      </c>
      <c r="C47" s="105">
        <f>5*4</f>
        <v>20</v>
      </c>
      <c r="D47" s="105" t="s">
        <v>84</v>
      </c>
      <c r="E47" s="82">
        <v>3000000</v>
      </c>
      <c r="F47" s="105"/>
      <c r="G47" s="105"/>
      <c r="H47" s="147">
        <f t="shared" si="12"/>
        <v>60000000</v>
      </c>
      <c r="I47" s="84"/>
      <c r="J47" s="138"/>
    </row>
    <row r="48" spans="1:11" s="103" customFormat="1" x14ac:dyDescent="0.2">
      <c r="A48" s="93"/>
      <c r="B48" s="105" t="s">
        <v>253</v>
      </c>
      <c r="C48" s="105">
        <v>20</v>
      </c>
      <c r="D48" s="105" t="s">
        <v>84</v>
      </c>
      <c r="E48" s="82">
        <v>900000</v>
      </c>
      <c r="F48" s="105"/>
      <c r="G48" s="105"/>
      <c r="H48" s="147">
        <f t="shared" si="12"/>
        <v>18000000</v>
      </c>
      <c r="I48" s="84"/>
      <c r="J48" s="138"/>
    </row>
    <row r="49" spans="1:10" x14ac:dyDescent="0.2">
      <c r="B49" s="105" t="s">
        <v>188</v>
      </c>
      <c r="C49" s="105">
        <v>10</v>
      </c>
      <c r="D49" s="105" t="s">
        <v>84</v>
      </c>
      <c r="E49" s="95">
        <v>14500000</v>
      </c>
      <c r="F49" s="209"/>
      <c r="G49" s="105"/>
      <c r="H49" s="147">
        <f>C49*E49</f>
        <v>145000000</v>
      </c>
      <c r="I49" s="44"/>
      <c r="J49" s="138"/>
    </row>
    <row r="50" spans="1:10" x14ac:dyDescent="0.2">
      <c r="B50" s="105" t="s">
        <v>232</v>
      </c>
      <c r="C50" s="105">
        <v>10</v>
      </c>
      <c r="D50" s="105" t="s">
        <v>84</v>
      </c>
      <c r="E50" s="82">
        <v>5000000</v>
      </c>
      <c r="F50" s="105"/>
      <c r="G50" s="105"/>
      <c r="H50" s="147">
        <f>C50*E50</f>
        <v>50000000</v>
      </c>
      <c r="I50" s="44"/>
      <c r="J50" s="53"/>
    </row>
    <row r="51" spans="1:10" s="103" customFormat="1" x14ac:dyDescent="0.2">
      <c r="A51" s="93"/>
      <c r="B51" s="105" t="s">
        <v>251</v>
      </c>
      <c r="C51" s="105">
        <v>20</v>
      </c>
      <c r="D51" s="105" t="s">
        <v>84</v>
      </c>
      <c r="E51" s="82">
        <v>52200000</v>
      </c>
      <c r="F51" s="105"/>
      <c r="G51" s="105"/>
      <c r="H51" s="147">
        <f>C51*E51</f>
        <v>1044000000</v>
      </c>
      <c r="I51" s="44"/>
      <c r="J51" s="53"/>
    </row>
    <row r="52" spans="1:10" s="103" customFormat="1" x14ac:dyDescent="0.2">
      <c r="A52" s="93"/>
      <c r="B52" s="105" t="s">
        <v>94</v>
      </c>
      <c r="C52" s="105">
        <v>20</v>
      </c>
      <c r="D52" s="105" t="s">
        <v>84</v>
      </c>
      <c r="E52" s="82">
        <v>20000000</v>
      </c>
      <c r="F52" s="105"/>
      <c r="G52" s="105"/>
      <c r="H52" s="147">
        <f>C52*E52</f>
        <v>400000000</v>
      </c>
      <c r="I52" s="44"/>
      <c r="J52" s="138"/>
    </row>
    <row r="53" spans="1:10" s="103" customFormat="1" x14ac:dyDescent="0.2">
      <c r="A53" s="93"/>
      <c r="B53" s="398" t="s">
        <v>230</v>
      </c>
      <c r="C53" s="105">
        <v>2</v>
      </c>
      <c r="D53" s="105" t="s">
        <v>261</v>
      </c>
      <c r="E53" s="82">
        <v>8963563</v>
      </c>
      <c r="F53" s="209"/>
      <c r="G53" s="105">
        <f>+G27</f>
        <v>10</v>
      </c>
      <c r="H53" s="147">
        <f>C53*E53*G53</f>
        <v>179271260</v>
      </c>
      <c r="I53" s="44"/>
      <c r="J53" s="138"/>
    </row>
    <row r="54" spans="1:10" s="103" customFormat="1" x14ac:dyDescent="0.2">
      <c r="A54" s="93"/>
      <c r="B54" s="105" t="s">
        <v>248</v>
      </c>
      <c r="C54" s="105">
        <f>+(2*2*4)</f>
        <v>16</v>
      </c>
      <c r="D54" s="105" t="s">
        <v>261</v>
      </c>
      <c r="E54" s="82">
        <v>856561</v>
      </c>
      <c r="F54" s="105"/>
      <c r="G54" s="105"/>
      <c r="H54" s="147">
        <f>+E54*C54</f>
        <v>13704976</v>
      </c>
      <c r="I54" s="44"/>
      <c r="J54" s="138"/>
    </row>
    <row r="55" spans="1:10" s="103" customFormat="1" x14ac:dyDescent="0.2">
      <c r="B55" s="105" t="s">
        <v>249</v>
      </c>
      <c r="C55" s="105">
        <v>10</v>
      </c>
      <c r="D55" s="105" t="s">
        <v>261</v>
      </c>
      <c r="E55" s="82">
        <v>6604729</v>
      </c>
      <c r="F55" s="209">
        <v>0.5</v>
      </c>
      <c r="G55" s="105">
        <v>10</v>
      </c>
      <c r="H55" s="147">
        <f>+E55*C55*G55*F55</f>
        <v>330236450</v>
      </c>
      <c r="I55" s="84"/>
      <c r="J55" s="138"/>
    </row>
    <row r="56" spans="1:10" x14ac:dyDescent="0.2">
      <c r="B56" s="82" t="s">
        <v>57</v>
      </c>
      <c r="C56" s="105">
        <v>10</v>
      </c>
      <c r="D56" s="105" t="s">
        <v>261</v>
      </c>
      <c r="E56" s="95">
        <v>1300000</v>
      </c>
      <c r="F56" s="209">
        <v>0.5</v>
      </c>
      <c r="G56" s="105">
        <v>10</v>
      </c>
      <c r="H56" s="147">
        <f>+E56*C56*F56*G56</f>
        <v>65000000</v>
      </c>
      <c r="I56" s="44"/>
      <c r="J56" s="138"/>
    </row>
    <row r="57" spans="1:10" x14ac:dyDescent="0.2">
      <c r="B57" s="82" t="s">
        <v>194</v>
      </c>
      <c r="C57" s="105">
        <v>10</v>
      </c>
      <c r="D57" s="105" t="s">
        <v>261</v>
      </c>
      <c r="E57" s="95">
        <v>155000</v>
      </c>
      <c r="F57" s="209">
        <v>0.5</v>
      </c>
      <c r="G57" s="105">
        <v>10</v>
      </c>
      <c r="H57" s="147">
        <f>C57*E57*F57*G57</f>
        <v>7750000</v>
      </c>
      <c r="J57" s="53"/>
    </row>
    <row r="58" spans="1:10" x14ac:dyDescent="0.2">
      <c r="B58" s="82" t="s">
        <v>410</v>
      </c>
      <c r="C58" s="105"/>
      <c r="D58" s="105"/>
      <c r="E58" s="95"/>
      <c r="F58" s="209"/>
      <c r="G58" s="105"/>
      <c r="H58" s="147" t="s">
        <v>78</v>
      </c>
      <c r="J58" s="53"/>
    </row>
    <row r="59" spans="1:10" ht="15" x14ac:dyDescent="0.25">
      <c r="B59" s="82" t="s">
        <v>423</v>
      </c>
      <c r="C59" s="105"/>
      <c r="D59" s="105"/>
      <c r="E59" s="95"/>
      <c r="F59" s="209"/>
      <c r="G59" s="105"/>
      <c r="H59" s="147" t="s">
        <v>78</v>
      </c>
      <c r="I59" s="99" t="s">
        <v>174</v>
      </c>
      <c r="J59" s="53"/>
    </row>
    <row r="60" spans="1:10" ht="15" x14ac:dyDescent="0.25">
      <c r="B60" s="86" t="s">
        <v>262</v>
      </c>
      <c r="C60" s="87"/>
      <c r="D60" s="87"/>
      <c r="E60" s="88"/>
      <c r="F60" s="88"/>
      <c r="G60" s="87"/>
      <c r="H60" s="99">
        <f>SUM(H41:H57)</f>
        <v>2421842686</v>
      </c>
      <c r="I60" s="99">
        <f>H60/12</f>
        <v>201820223.83333334</v>
      </c>
      <c r="J60" s="53"/>
    </row>
    <row r="61" spans="1:10" s="103" customFormat="1" ht="260.45" hidden="1" customHeight="1" x14ac:dyDescent="0.2">
      <c r="B61" s="100" t="s">
        <v>97</v>
      </c>
      <c r="C61" s="314"/>
      <c r="D61" s="314"/>
      <c r="E61" s="314"/>
      <c r="F61" s="314"/>
      <c r="G61" s="314"/>
      <c r="H61" s="314"/>
      <c r="J61" s="53">
        <v>1846986450</v>
      </c>
    </row>
    <row r="62" spans="1:10" s="103" customFormat="1" ht="15" x14ac:dyDescent="0.25">
      <c r="B62" s="142" t="s">
        <v>263</v>
      </c>
      <c r="C62" s="152"/>
      <c r="D62" s="152"/>
      <c r="E62" s="152"/>
      <c r="F62" s="152"/>
      <c r="G62" s="153"/>
      <c r="H62" s="154">
        <f>(H51+H52)+H55+H56+H57</f>
        <v>1846986450</v>
      </c>
      <c r="I62" s="102"/>
      <c r="J62" s="53"/>
    </row>
    <row r="63" spans="1:10" s="103" customFormat="1" x14ac:dyDescent="0.2">
      <c r="B63" s="100"/>
      <c r="C63" s="314"/>
      <c r="D63" s="314"/>
      <c r="E63" s="314"/>
      <c r="F63" s="314"/>
      <c r="G63" s="102"/>
      <c r="H63" s="102"/>
      <c r="I63" s="102"/>
      <c r="J63" s="102"/>
    </row>
    <row r="64" spans="1:10" ht="280.5" customHeight="1" x14ac:dyDescent="0.2">
      <c r="B64" s="219" t="s">
        <v>424</v>
      </c>
      <c r="C64" s="103"/>
      <c r="D64" s="103"/>
      <c r="E64" s="103"/>
      <c r="F64" s="78"/>
    </row>
    <row r="65" spans="1:10" x14ac:dyDescent="0.2">
      <c r="B65" s="103"/>
      <c r="C65" s="103"/>
      <c r="D65" s="103"/>
      <c r="E65" s="103"/>
      <c r="F65" s="103"/>
    </row>
    <row r="66" spans="1:10" ht="15" x14ac:dyDescent="0.25">
      <c r="B66" s="314"/>
      <c r="C66" s="314"/>
      <c r="D66" s="314"/>
      <c r="E66" s="314"/>
      <c r="F66" s="314"/>
      <c r="G66" s="314"/>
      <c r="H66" s="314"/>
      <c r="I66" s="91"/>
    </row>
    <row r="67" spans="1:10" s="103" customFormat="1" ht="14.45" customHeight="1" x14ac:dyDescent="0.25">
      <c r="A67" s="92"/>
      <c r="B67" s="717" t="str">
        <f>+B10</f>
        <v>3.3. Aumento de la capacidad instalada regional para el secamiento, almacenamiento, y  procesamiento agroindustrial de maíz.</v>
      </c>
      <c r="C67" s="718"/>
      <c r="D67" s="718"/>
      <c r="E67" s="718"/>
      <c r="F67" s="718"/>
      <c r="G67" s="718"/>
      <c r="H67" s="718"/>
    </row>
    <row r="68" spans="1:10" hidden="1" x14ac:dyDescent="0.2">
      <c r="B68" s="314"/>
      <c r="C68" s="314"/>
      <c r="D68" s="314"/>
      <c r="E68" s="314"/>
      <c r="F68" s="314"/>
      <c r="G68" s="314"/>
      <c r="H68" s="314"/>
    </row>
    <row r="69" spans="1:10" ht="15" x14ac:dyDescent="0.25">
      <c r="B69" s="79" t="s">
        <v>79</v>
      </c>
      <c r="C69" s="79" t="s">
        <v>59</v>
      </c>
      <c r="D69" s="79" t="s">
        <v>56</v>
      </c>
      <c r="E69" s="79" t="s">
        <v>55</v>
      </c>
      <c r="F69" s="79" t="s">
        <v>80</v>
      </c>
      <c r="G69" s="79" t="s">
        <v>81</v>
      </c>
      <c r="H69" s="79" t="s">
        <v>82</v>
      </c>
      <c r="J69" s="138"/>
    </row>
    <row r="70" spans="1:10" s="103" customFormat="1" x14ac:dyDescent="0.2">
      <c r="A70" s="93"/>
      <c r="B70" s="315" t="s">
        <v>254</v>
      </c>
      <c r="C70" s="104">
        <v>30</v>
      </c>
      <c r="D70" s="104" t="s">
        <v>84</v>
      </c>
      <c r="E70" s="383">
        <v>500000</v>
      </c>
      <c r="F70" s="104"/>
      <c r="G70" s="104"/>
      <c r="H70" s="147">
        <f>+E70*C70</f>
        <v>15000000</v>
      </c>
      <c r="I70" s="44"/>
      <c r="J70" s="138"/>
    </row>
    <row r="71" spans="1:10" s="103" customFormat="1" x14ac:dyDescent="0.2">
      <c r="A71" s="93"/>
      <c r="B71" s="315" t="s">
        <v>85</v>
      </c>
      <c r="C71" s="104">
        <v>30</v>
      </c>
      <c r="D71" s="104" t="s">
        <v>84</v>
      </c>
      <c r="E71" s="383">
        <v>100000</v>
      </c>
      <c r="F71" s="104"/>
      <c r="G71" s="104"/>
      <c r="H71" s="147">
        <f t="shared" ref="H71:H76" si="13">+E71*C71</f>
        <v>3000000</v>
      </c>
      <c r="I71" s="44"/>
      <c r="J71" s="138"/>
    </row>
    <row r="72" spans="1:10" s="103" customFormat="1" x14ac:dyDescent="0.2">
      <c r="A72" s="93"/>
      <c r="B72" s="315" t="s">
        <v>245</v>
      </c>
      <c r="C72" s="105">
        <v>40</v>
      </c>
      <c r="D72" s="104" t="s">
        <v>84</v>
      </c>
      <c r="E72" s="383">
        <v>2300000</v>
      </c>
      <c r="F72" s="104"/>
      <c r="G72" s="104"/>
      <c r="H72" s="147">
        <f t="shared" si="13"/>
        <v>92000000</v>
      </c>
      <c r="I72" s="44"/>
      <c r="J72" s="138"/>
    </row>
    <row r="73" spans="1:10" s="103" customFormat="1" x14ac:dyDescent="0.2">
      <c r="A73" s="93"/>
      <c r="B73" s="315" t="s">
        <v>246</v>
      </c>
      <c r="C73" s="105">
        <v>40</v>
      </c>
      <c r="D73" s="104" t="s">
        <v>84</v>
      </c>
      <c r="E73" s="383">
        <v>460000</v>
      </c>
      <c r="F73" s="104"/>
      <c r="G73" s="104"/>
      <c r="H73" s="147">
        <f t="shared" si="13"/>
        <v>18400000</v>
      </c>
      <c r="I73" s="44"/>
      <c r="J73" s="138"/>
    </row>
    <row r="74" spans="1:10" s="103" customFormat="1" x14ac:dyDescent="0.2">
      <c r="A74" s="93"/>
      <c r="B74" s="315" t="s">
        <v>255</v>
      </c>
      <c r="C74" s="105">
        <v>10</v>
      </c>
      <c r="D74" s="104" t="s">
        <v>84</v>
      </c>
      <c r="E74" s="383">
        <v>3270000</v>
      </c>
      <c r="F74" s="104"/>
      <c r="G74" s="104"/>
      <c r="H74" s="147">
        <f t="shared" si="13"/>
        <v>32700000</v>
      </c>
      <c r="I74" s="44"/>
      <c r="J74" s="138"/>
    </row>
    <row r="75" spans="1:10" s="103" customFormat="1" x14ac:dyDescent="0.2">
      <c r="A75" s="93"/>
      <c r="B75" s="315" t="s">
        <v>250</v>
      </c>
      <c r="C75" s="105">
        <v>10</v>
      </c>
      <c r="D75" s="104" t="s">
        <v>76</v>
      </c>
      <c r="E75" s="383">
        <v>6000000</v>
      </c>
      <c r="F75" s="104"/>
      <c r="G75" s="104"/>
      <c r="H75" s="147">
        <f t="shared" si="13"/>
        <v>60000000</v>
      </c>
      <c r="I75" s="44"/>
      <c r="J75" s="138"/>
    </row>
    <row r="76" spans="1:10" s="103" customFormat="1" x14ac:dyDescent="0.2">
      <c r="A76" s="93"/>
      <c r="B76" s="315" t="s">
        <v>88</v>
      </c>
      <c r="C76" s="105">
        <v>10</v>
      </c>
      <c r="D76" s="104" t="s">
        <v>76</v>
      </c>
      <c r="E76" s="383">
        <v>1800000</v>
      </c>
      <c r="F76" s="104"/>
      <c r="G76" s="104"/>
      <c r="H76" s="147">
        <f t="shared" si="13"/>
        <v>18000000</v>
      </c>
      <c r="I76" s="44"/>
      <c r="J76" s="138"/>
    </row>
    <row r="77" spans="1:10" s="103" customFormat="1" x14ac:dyDescent="0.2">
      <c r="A77" s="93"/>
      <c r="B77" s="104" t="s">
        <v>416</v>
      </c>
      <c r="C77" s="149">
        <v>15789.473684210527</v>
      </c>
      <c r="D77" s="104" t="s">
        <v>444</v>
      </c>
      <c r="E77" s="383">
        <v>3621410.9729175004</v>
      </c>
      <c r="F77" s="98">
        <v>0.2</v>
      </c>
      <c r="G77" s="104"/>
      <c r="H77" s="147">
        <f>C77*E77*F77</f>
        <v>11436034651.318422</v>
      </c>
      <c r="I77" s="44"/>
      <c r="J77" s="138"/>
    </row>
    <row r="78" spans="1:10" s="103" customFormat="1" x14ac:dyDescent="0.2">
      <c r="A78" s="93"/>
      <c r="B78" s="104" t="s">
        <v>417</v>
      </c>
      <c r="C78" s="149">
        <v>63157.894736842107</v>
      </c>
      <c r="D78" s="104" t="s">
        <v>444</v>
      </c>
      <c r="E78" s="383">
        <v>2763052.9642873891</v>
      </c>
      <c r="F78" s="98">
        <v>0.2</v>
      </c>
      <c r="G78" s="104"/>
      <c r="H78" s="147">
        <f t="shared" ref="H78:H79" si="14">C78*E78*F78</f>
        <v>34901721654.156494</v>
      </c>
      <c r="I78" s="44"/>
      <c r="J78" s="138"/>
    </row>
    <row r="79" spans="1:10" s="103" customFormat="1" x14ac:dyDescent="0.2">
      <c r="A79" s="93"/>
      <c r="B79" s="104" t="s">
        <v>418</v>
      </c>
      <c r="C79" s="149">
        <v>47368.421052631573</v>
      </c>
      <c r="D79" s="104" t="s">
        <v>444</v>
      </c>
      <c r="E79" s="383">
        <v>2228096.5821995079</v>
      </c>
      <c r="F79" s="98">
        <v>0.2</v>
      </c>
      <c r="G79" s="104"/>
      <c r="H79" s="147">
        <f t="shared" si="14"/>
        <v>21108283410.311127</v>
      </c>
      <c r="I79" s="44"/>
      <c r="J79" s="138"/>
    </row>
    <row r="80" spans="1:10" s="103" customFormat="1" x14ac:dyDescent="0.2">
      <c r="A80" s="93"/>
      <c r="B80" s="315" t="s">
        <v>257</v>
      </c>
      <c r="C80" s="104">
        <v>5</v>
      </c>
      <c r="D80" s="104" t="s">
        <v>260</v>
      </c>
      <c r="E80" s="383">
        <v>8954882.5200000014</v>
      </c>
      <c r="F80" s="104"/>
      <c r="G80" s="104"/>
      <c r="H80" s="147">
        <f>C80*E80</f>
        <v>44774412.600000009</v>
      </c>
      <c r="I80" s="44"/>
      <c r="J80" s="138"/>
    </row>
    <row r="81" spans="1:10" s="103" customFormat="1" x14ac:dyDescent="0.2">
      <c r="A81" s="93"/>
      <c r="B81" s="315" t="s">
        <v>258</v>
      </c>
      <c r="C81" s="104">
        <v>3</v>
      </c>
      <c r="D81" s="104" t="s">
        <v>260</v>
      </c>
      <c r="E81" s="383">
        <v>19476574.949999999</v>
      </c>
      <c r="F81" s="104"/>
      <c r="G81" s="104"/>
      <c r="H81" s="147">
        <f t="shared" ref="H81:H82" si="15">C81*E81</f>
        <v>58429724.849999994</v>
      </c>
      <c r="I81" s="44"/>
      <c r="J81" s="138"/>
    </row>
    <row r="82" spans="1:10" s="103" customFormat="1" x14ac:dyDescent="0.2">
      <c r="B82" s="315" t="s">
        <v>259</v>
      </c>
      <c r="C82" s="104">
        <v>1</v>
      </c>
      <c r="D82" s="104" t="s">
        <v>260</v>
      </c>
      <c r="E82" s="383">
        <v>39597849.755999997</v>
      </c>
      <c r="F82" s="104"/>
      <c r="G82" s="104"/>
      <c r="H82" s="147">
        <f t="shared" si="15"/>
        <v>39597849.755999997</v>
      </c>
      <c r="I82" s="44"/>
      <c r="J82" s="138"/>
    </row>
    <row r="83" spans="1:10" s="103" customFormat="1" x14ac:dyDescent="0.2">
      <c r="A83" s="93"/>
      <c r="B83" s="315" t="s">
        <v>230</v>
      </c>
      <c r="C83" s="104">
        <v>2</v>
      </c>
      <c r="D83" s="104" t="s">
        <v>267</v>
      </c>
      <c r="E83" s="54">
        <v>8963563</v>
      </c>
      <c r="F83" s="98"/>
      <c r="G83" s="104">
        <v>10</v>
      </c>
      <c r="H83" s="147">
        <f>C83*E83*G83</f>
        <v>179271260</v>
      </c>
      <c r="I83" s="44"/>
      <c r="J83" s="53"/>
    </row>
    <row r="84" spans="1:10" x14ac:dyDescent="0.2">
      <c r="B84" s="104" t="s">
        <v>256</v>
      </c>
      <c r="C84" s="105">
        <v>10</v>
      </c>
      <c r="D84" s="104" t="s">
        <v>261</v>
      </c>
      <c r="E84" s="54">
        <v>6604729</v>
      </c>
      <c r="F84" s="98">
        <v>0.5</v>
      </c>
      <c r="G84" s="104">
        <v>10</v>
      </c>
      <c r="H84" s="147">
        <f t="shared" ref="H84:H86" si="16">C84*E84*G84</f>
        <v>660472900</v>
      </c>
      <c r="I84" s="44"/>
      <c r="J84" s="53"/>
    </row>
    <row r="85" spans="1:10" x14ac:dyDescent="0.2">
      <c r="B85" s="82" t="s">
        <v>57</v>
      </c>
      <c r="C85" s="105">
        <v>10</v>
      </c>
      <c r="D85" s="104" t="s">
        <v>261</v>
      </c>
      <c r="E85" s="54">
        <v>1300000</v>
      </c>
      <c r="F85" s="98">
        <v>0.5</v>
      </c>
      <c r="G85" s="104">
        <v>10</v>
      </c>
      <c r="H85" s="147">
        <f t="shared" si="16"/>
        <v>130000000</v>
      </c>
      <c r="I85" s="44"/>
      <c r="J85" s="53"/>
    </row>
    <row r="86" spans="1:10" ht="15" x14ac:dyDescent="0.25">
      <c r="B86" s="104" t="s">
        <v>194</v>
      </c>
      <c r="C86" s="104">
        <v>10</v>
      </c>
      <c r="D86" s="104" t="s">
        <v>261</v>
      </c>
      <c r="E86" s="54">
        <v>155000</v>
      </c>
      <c r="F86" s="98">
        <v>0.5</v>
      </c>
      <c r="G86" s="104">
        <v>10</v>
      </c>
      <c r="H86" s="147">
        <f t="shared" si="16"/>
        <v>15500000</v>
      </c>
      <c r="I86" s="99" t="s">
        <v>174</v>
      </c>
      <c r="J86" s="53"/>
    </row>
    <row r="87" spans="1:10" ht="15" x14ac:dyDescent="0.25">
      <c r="B87" s="86" t="s">
        <v>264</v>
      </c>
      <c r="C87" s="87"/>
      <c r="D87" s="87"/>
      <c r="E87" s="88"/>
      <c r="F87" s="88"/>
      <c r="G87" s="87"/>
      <c r="H87" s="99">
        <f>SUM(H70:H86)-H77-H78-H79</f>
        <v>1367146147.2059937</v>
      </c>
      <c r="I87" s="99">
        <f>H87/12</f>
        <v>113928845.60049947</v>
      </c>
      <c r="J87" s="53"/>
    </row>
    <row r="88" spans="1:10" s="103" customFormat="1" ht="260.45" hidden="1" customHeight="1" x14ac:dyDescent="0.2">
      <c r="B88" s="100" t="s">
        <v>97</v>
      </c>
      <c r="C88" s="314"/>
      <c r="D88" s="314"/>
      <c r="E88" s="314"/>
      <c r="F88" s="314"/>
      <c r="G88" s="314"/>
      <c r="H88" s="314"/>
      <c r="J88" s="53"/>
    </row>
    <row r="89" spans="1:10" ht="15" x14ac:dyDescent="0.25">
      <c r="B89" s="142" t="s">
        <v>265</v>
      </c>
      <c r="C89" s="155"/>
      <c r="D89" s="155"/>
      <c r="E89" s="156"/>
      <c r="F89" s="156"/>
      <c r="G89" s="155"/>
      <c r="H89" s="154">
        <f>SUM(H70:H86)</f>
        <v>68813185862.992035</v>
      </c>
      <c r="I89" s="44"/>
      <c r="J89" s="53"/>
    </row>
    <row r="90" spans="1:10" ht="15" x14ac:dyDescent="0.25">
      <c r="B90" s="157" t="s">
        <v>266</v>
      </c>
      <c r="C90" s="143"/>
      <c r="D90" s="143"/>
      <c r="E90" s="158"/>
      <c r="F90" s="158"/>
      <c r="G90" s="143"/>
      <c r="H90" s="159">
        <f>H77+H78+H79</f>
        <v>67446039715.786041</v>
      </c>
    </row>
    <row r="91" spans="1:10" ht="408.95" customHeight="1" x14ac:dyDescent="0.2">
      <c r="B91" s="372" t="s">
        <v>448</v>
      </c>
    </row>
    <row r="94" spans="1:10" s="103" customFormat="1" ht="14.45" customHeight="1" x14ac:dyDescent="0.25">
      <c r="A94" s="92"/>
      <c r="B94" s="717" t="str">
        <f>B11</f>
        <v xml:space="preserve">3.4. Fortalecimiento de la oferta de insumos y servicios asociados a la cadena. </v>
      </c>
      <c r="C94" s="717"/>
      <c r="D94" s="717"/>
      <c r="E94" s="717"/>
      <c r="F94" s="717"/>
      <c r="G94" s="717"/>
      <c r="H94" s="717"/>
    </row>
    <row r="95" spans="1:10" hidden="1" x14ac:dyDescent="0.2">
      <c r="B95" s="314"/>
      <c r="C95" s="314"/>
      <c r="D95" s="314"/>
      <c r="E95" s="314"/>
      <c r="F95" s="314"/>
      <c r="G95" s="314"/>
      <c r="H95" s="314"/>
    </row>
    <row r="96" spans="1:10" ht="15" x14ac:dyDescent="0.25">
      <c r="B96" s="79" t="s">
        <v>79</v>
      </c>
      <c r="C96" s="79" t="s">
        <v>59</v>
      </c>
      <c r="D96" s="79" t="s">
        <v>56</v>
      </c>
      <c r="E96" s="79" t="s">
        <v>55</v>
      </c>
      <c r="F96" s="79" t="s">
        <v>80</v>
      </c>
      <c r="G96" s="79" t="s">
        <v>81</v>
      </c>
      <c r="H96" s="79" t="s">
        <v>82</v>
      </c>
      <c r="J96" s="53"/>
    </row>
    <row r="97" spans="1:10" s="103" customFormat="1" x14ac:dyDescent="0.2">
      <c r="A97" s="93"/>
      <c r="B97" s="104" t="s">
        <v>247</v>
      </c>
      <c r="C97" s="105">
        <v>20</v>
      </c>
      <c r="D97" s="104" t="s">
        <v>84</v>
      </c>
      <c r="E97" s="45">
        <v>500000</v>
      </c>
      <c r="F97" s="104"/>
      <c r="G97" s="104"/>
      <c r="H97" s="147">
        <f>+E97*C97</f>
        <v>10000000</v>
      </c>
      <c r="I97" s="85"/>
      <c r="J97" s="53"/>
    </row>
    <row r="98" spans="1:10" s="103" customFormat="1" x14ac:dyDescent="0.2">
      <c r="A98" s="93"/>
      <c r="B98" s="104" t="s">
        <v>85</v>
      </c>
      <c r="C98" s="105">
        <v>20</v>
      </c>
      <c r="D98" s="104" t="s">
        <v>84</v>
      </c>
      <c r="E98" s="45">
        <v>100000</v>
      </c>
      <c r="F98" s="104"/>
      <c r="G98" s="104"/>
      <c r="H98" s="147">
        <f t="shared" ref="H98:H108" si="17">+E98*C98</f>
        <v>2000000</v>
      </c>
      <c r="I98" s="85"/>
      <c r="J98" s="138"/>
    </row>
    <row r="99" spans="1:10" s="103" customFormat="1" x14ac:dyDescent="0.2">
      <c r="A99" s="93"/>
      <c r="B99" s="315" t="s">
        <v>245</v>
      </c>
      <c r="C99" s="104">
        <v>20</v>
      </c>
      <c r="D99" s="104" t="s">
        <v>84</v>
      </c>
      <c r="E99" s="45">
        <v>2300000</v>
      </c>
      <c r="F99" s="104"/>
      <c r="G99" s="104"/>
      <c r="H99" s="147">
        <f t="shared" si="17"/>
        <v>46000000</v>
      </c>
      <c r="I99" s="44"/>
      <c r="J99" s="138"/>
    </row>
    <row r="100" spans="1:10" s="103" customFormat="1" x14ac:dyDescent="0.2">
      <c r="A100" s="93"/>
      <c r="B100" s="104" t="s">
        <v>246</v>
      </c>
      <c r="C100" s="104">
        <v>20</v>
      </c>
      <c r="D100" s="104" t="s">
        <v>84</v>
      </c>
      <c r="E100" s="45">
        <v>460000</v>
      </c>
      <c r="F100" s="104"/>
      <c r="G100" s="104"/>
      <c r="H100" s="147">
        <f t="shared" si="17"/>
        <v>9200000</v>
      </c>
      <c r="I100" s="44"/>
      <c r="J100" s="138"/>
    </row>
    <row r="101" spans="1:10" s="103" customFormat="1" x14ac:dyDescent="0.2">
      <c r="B101" s="315" t="s">
        <v>250</v>
      </c>
      <c r="C101" s="104">
        <v>20</v>
      </c>
      <c r="D101" s="104" t="s">
        <v>76</v>
      </c>
      <c r="E101" s="45">
        <v>6000000</v>
      </c>
      <c r="F101" s="104"/>
      <c r="G101" s="104"/>
      <c r="H101" s="147">
        <f t="shared" si="17"/>
        <v>120000000</v>
      </c>
      <c r="I101" s="44"/>
      <c r="J101" s="138"/>
    </row>
    <row r="102" spans="1:10" s="103" customFormat="1" x14ac:dyDescent="0.2">
      <c r="B102" s="315" t="s">
        <v>88</v>
      </c>
      <c r="C102" s="104">
        <v>20</v>
      </c>
      <c r="D102" s="104" t="s">
        <v>76</v>
      </c>
      <c r="E102" s="45">
        <v>1800000</v>
      </c>
      <c r="F102" s="104"/>
      <c r="G102" s="104"/>
      <c r="H102" s="147">
        <f t="shared" si="17"/>
        <v>36000000</v>
      </c>
      <c r="I102" s="44"/>
      <c r="J102" s="138"/>
    </row>
    <row r="103" spans="1:10" s="103" customFormat="1" x14ac:dyDescent="0.2">
      <c r="A103" s="93"/>
      <c r="B103" s="104" t="s">
        <v>252</v>
      </c>
      <c r="C103" s="105">
        <v>20</v>
      </c>
      <c r="D103" s="104" t="s">
        <v>84</v>
      </c>
      <c r="E103" s="45">
        <v>3000000</v>
      </c>
      <c r="F103" s="104"/>
      <c r="G103" s="104"/>
      <c r="H103" s="147">
        <f t="shared" si="17"/>
        <v>60000000</v>
      </c>
      <c r="I103" s="84"/>
      <c r="J103" s="138"/>
    </row>
    <row r="104" spans="1:10" s="103" customFormat="1" x14ac:dyDescent="0.2">
      <c r="A104" s="93"/>
      <c r="B104" s="104" t="s">
        <v>253</v>
      </c>
      <c r="C104" s="105">
        <v>20</v>
      </c>
      <c r="D104" s="104" t="s">
        <v>84</v>
      </c>
      <c r="E104" s="45">
        <v>900000</v>
      </c>
      <c r="F104" s="104"/>
      <c r="G104" s="104"/>
      <c r="H104" s="147">
        <f t="shared" si="17"/>
        <v>18000000</v>
      </c>
      <c r="I104" s="84"/>
      <c r="J104" s="138"/>
    </row>
    <row r="105" spans="1:10" x14ac:dyDescent="0.2">
      <c r="B105" s="104" t="s">
        <v>188</v>
      </c>
      <c r="C105" s="105">
        <v>10</v>
      </c>
      <c r="D105" s="104" t="s">
        <v>84</v>
      </c>
      <c r="E105" s="109">
        <v>14500000</v>
      </c>
      <c r="F105" s="98"/>
      <c r="G105" s="104"/>
      <c r="H105" s="147">
        <f t="shared" si="17"/>
        <v>145000000</v>
      </c>
      <c r="I105" s="44"/>
      <c r="J105" s="138"/>
    </row>
    <row r="106" spans="1:10" x14ac:dyDescent="0.2">
      <c r="B106" s="104" t="s">
        <v>232</v>
      </c>
      <c r="C106" s="104">
        <v>10</v>
      </c>
      <c r="D106" s="104" t="s">
        <v>84</v>
      </c>
      <c r="E106" s="45">
        <v>5000000</v>
      </c>
      <c r="F106" s="104"/>
      <c r="G106" s="104"/>
      <c r="H106" s="147">
        <f t="shared" si="17"/>
        <v>50000000</v>
      </c>
      <c r="I106" s="44"/>
      <c r="J106" s="53"/>
    </row>
    <row r="107" spans="1:10" s="103" customFormat="1" x14ac:dyDescent="0.2">
      <c r="A107" s="93"/>
      <c r="B107" s="104" t="s">
        <v>268</v>
      </c>
      <c r="C107" s="105">
        <v>10</v>
      </c>
      <c r="D107" s="104" t="s">
        <v>84</v>
      </c>
      <c r="E107" s="45">
        <v>52200000</v>
      </c>
      <c r="F107" s="104"/>
      <c r="G107" s="104"/>
      <c r="H107" s="147">
        <f t="shared" si="17"/>
        <v>522000000</v>
      </c>
      <c r="I107" s="44"/>
      <c r="J107" s="53"/>
    </row>
    <row r="108" spans="1:10" s="103" customFormat="1" x14ac:dyDescent="0.2">
      <c r="A108" s="93"/>
      <c r="B108" s="104" t="s">
        <v>94</v>
      </c>
      <c r="C108" s="105">
        <v>20</v>
      </c>
      <c r="D108" s="104" t="s">
        <v>84</v>
      </c>
      <c r="E108" s="45">
        <v>20000000</v>
      </c>
      <c r="F108" s="104"/>
      <c r="G108" s="104"/>
      <c r="H108" s="147">
        <f t="shared" si="17"/>
        <v>400000000</v>
      </c>
      <c r="I108" s="44"/>
      <c r="J108" s="138"/>
    </row>
    <row r="109" spans="1:10" s="103" customFormat="1" x14ac:dyDescent="0.2">
      <c r="A109" s="93"/>
      <c r="B109" s="315" t="s">
        <v>257</v>
      </c>
      <c r="C109" s="105">
        <v>6</v>
      </c>
      <c r="D109" s="104" t="s">
        <v>269</v>
      </c>
      <c r="E109" s="45">
        <v>8954882.5200000014</v>
      </c>
      <c r="F109" s="104"/>
      <c r="G109" s="104"/>
      <c r="H109" s="147">
        <f>E109*C109</f>
        <v>53729295.120000005</v>
      </c>
      <c r="I109" s="44"/>
      <c r="J109" s="138"/>
    </row>
    <row r="110" spans="1:10" s="103" customFormat="1" x14ac:dyDescent="0.2">
      <c r="A110" s="93"/>
      <c r="B110" s="315" t="s">
        <v>258</v>
      </c>
      <c r="C110" s="105">
        <v>4</v>
      </c>
      <c r="D110" s="104" t="s">
        <v>269</v>
      </c>
      <c r="E110" s="45">
        <v>19476574.949999999</v>
      </c>
      <c r="F110" s="104"/>
      <c r="G110" s="104"/>
      <c r="H110" s="147">
        <f>C110*E110</f>
        <v>77906299.799999997</v>
      </c>
      <c r="I110" s="44"/>
      <c r="J110" s="138"/>
    </row>
    <row r="111" spans="1:10" s="103" customFormat="1" x14ac:dyDescent="0.2">
      <c r="A111" s="93"/>
      <c r="B111" s="315" t="s">
        <v>259</v>
      </c>
      <c r="C111" s="105">
        <v>2</v>
      </c>
      <c r="D111" s="104" t="s">
        <v>269</v>
      </c>
      <c r="E111" s="45">
        <v>39597849.755999997</v>
      </c>
      <c r="F111" s="104"/>
      <c r="G111" s="104"/>
      <c r="H111" s="147">
        <f t="shared" ref="H111:H113" si="18">C111*E111</f>
        <v>79195699.511999995</v>
      </c>
      <c r="I111" s="44"/>
      <c r="J111" s="138"/>
    </row>
    <row r="112" spans="1:10" s="103" customFormat="1" x14ac:dyDescent="0.2">
      <c r="A112" s="93"/>
      <c r="B112" s="315" t="s">
        <v>230</v>
      </c>
      <c r="C112" s="104">
        <v>2</v>
      </c>
      <c r="D112" s="104" t="s">
        <v>267</v>
      </c>
      <c r="E112" s="45">
        <v>8963563</v>
      </c>
      <c r="F112" s="98"/>
      <c r="G112" s="104">
        <v>10</v>
      </c>
      <c r="H112" s="147">
        <f>C112*E112*G112</f>
        <v>179271260</v>
      </c>
      <c r="I112" s="44"/>
      <c r="J112" s="138"/>
    </row>
    <row r="113" spans="1:10" s="103" customFormat="1" x14ac:dyDescent="0.2">
      <c r="A113" s="93"/>
      <c r="B113" s="104" t="s">
        <v>248</v>
      </c>
      <c r="C113" s="105">
        <f>+(2*2*4)</f>
        <v>16</v>
      </c>
      <c r="D113" s="104" t="s">
        <v>267</v>
      </c>
      <c r="E113" s="45">
        <v>856561</v>
      </c>
      <c r="F113" s="104"/>
      <c r="G113" s="104"/>
      <c r="H113" s="147">
        <f t="shared" si="18"/>
        <v>13704976</v>
      </c>
      <c r="I113" s="44"/>
      <c r="J113" s="138"/>
    </row>
    <row r="114" spans="1:10" s="103" customFormat="1" x14ac:dyDescent="0.2">
      <c r="B114" s="104" t="s">
        <v>249</v>
      </c>
      <c r="C114" s="105">
        <v>10</v>
      </c>
      <c r="D114" s="104" t="s">
        <v>267</v>
      </c>
      <c r="E114" s="45">
        <v>6604729</v>
      </c>
      <c r="F114" s="98">
        <v>0.5</v>
      </c>
      <c r="G114" s="104">
        <v>10</v>
      </c>
      <c r="H114" s="147">
        <f>+E114*C114*G114*F114</f>
        <v>330236450</v>
      </c>
      <c r="I114" s="84"/>
      <c r="J114" s="138"/>
    </row>
    <row r="115" spans="1:10" x14ac:dyDescent="0.2">
      <c r="B115" s="82" t="s">
        <v>57</v>
      </c>
      <c r="C115" s="105">
        <v>10</v>
      </c>
      <c r="D115" s="104" t="s">
        <v>267</v>
      </c>
      <c r="E115" s="109">
        <v>1300000</v>
      </c>
      <c r="F115" s="98">
        <v>0.5</v>
      </c>
      <c r="G115" s="104">
        <v>10</v>
      </c>
      <c r="H115" s="147">
        <f t="shared" ref="H115:H116" si="19">+E115*C115*G115*F115</f>
        <v>65000000</v>
      </c>
      <c r="I115" s="44"/>
      <c r="J115" s="138"/>
    </row>
    <row r="116" spans="1:10" ht="15" x14ac:dyDescent="0.25">
      <c r="B116" s="82" t="s">
        <v>194</v>
      </c>
      <c r="C116" s="105">
        <v>10</v>
      </c>
      <c r="D116" s="104" t="s">
        <v>267</v>
      </c>
      <c r="E116" s="109">
        <v>155000</v>
      </c>
      <c r="F116" s="98">
        <v>0.5</v>
      </c>
      <c r="G116" s="104">
        <v>10</v>
      </c>
      <c r="H116" s="147">
        <f t="shared" si="19"/>
        <v>7750000</v>
      </c>
      <c r="I116" s="99" t="s">
        <v>174</v>
      </c>
      <c r="J116" s="53"/>
    </row>
    <row r="117" spans="1:10" ht="15" x14ac:dyDescent="0.25">
      <c r="B117" s="86" t="s">
        <v>270</v>
      </c>
      <c r="C117" s="87"/>
      <c r="D117" s="87"/>
      <c r="E117" s="88"/>
      <c r="F117" s="88"/>
      <c r="G117" s="87"/>
      <c r="H117" s="99">
        <f>SUM(H97:H116)</f>
        <v>2224993980.4320002</v>
      </c>
      <c r="I117" s="99">
        <f>H117/12</f>
        <v>185416165.03600001</v>
      </c>
      <c r="J117" s="53"/>
    </row>
    <row r="118" spans="1:10" s="103" customFormat="1" ht="15" x14ac:dyDescent="0.25">
      <c r="B118" s="142" t="s">
        <v>271</v>
      </c>
      <c r="C118" s="152"/>
      <c r="D118" s="152"/>
      <c r="E118" s="152"/>
      <c r="F118" s="152"/>
      <c r="G118" s="153"/>
      <c r="H118" s="154">
        <f>+H107+H108+H109</f>
        <v>975729295.12</v>
      </c>
      <c r="I118" s="102"/>
      <c r="J118" s="53"/>
    </row>
    <row r="119" spans="1:10" ht="297" customHeight="1" x14ac:dyDescent="0.2">
      <c r="B119" s="219" t="s">
        <v>419</v>
      </c>
    </row>
    <row r="120" spans="1:10" x14ac:dyDescent="0.2">
      <c r="B120" s="219"/>
    </row>
    <row r="121" spans="1:10" x14ac:dyDescent="0.2">
      <c r="B121" s="219"/>
    </row>
    <row r="122" spans="1:10" s="103" customFormat="1" ht="14.45" customHeight="1" x14ac:dyDescent="0.25">
      <c r="A122" s="92"/>
      <c r="B122" s="717" t="str">
        <f>+B12</f>
        <v>3.5. Mejora del entorno productivo para las grandes inversiones en las regiones maiceras.</v>
      </c>
      <c r="C122" s="717"/>
      <c r="D122" s="717"/>
      <c r="E122" s="717"/>
      <c r="F122" s="717"/>
      <c r="G122" s="717"/>
      <c r="H122" s="717"/>
    </row>
    <row r="123" spans="1:10" hidden="1" x14ac:dyDescent="0.2">
      <c r="B123" s="314"/>
      <c r="C123" s="314"/>
      <c r="D123" s="314"/>
      <c r="E123" s="314"/>
      <c r="F123" s="314"/>
      <c r="G123" s="314"/>
      <c r="H123" s="314"/>
    </row>
    <row r="124" spans="1:10" ht="15" x14ac:dyDescent="0.25">
      <c r="B124" s="79" t="s">
        <v>79</v>
      </c>
      <c r="C124" s="79" t="s">
        <v>59</v>
      </c>
      <c r="D124" s="79" t="s">
        <v>56</v>
      </c>
      <c r="E124" s="79" t="s">
        <v>55</v>
      </c>
      <c r="F124" s="79" t="s">
        <v>80</v>
      </c>
      <c r="G124" s="79" t="s">
        <v>81</v>
      </c>
      <c r="H124" s="79" t="s">
        <v>82</v>
      </c>
      <c r="J124" s="53"/>
    </row>
    <row r="125" spans="1:10" s="103" customFormat="1" x14ac:dyDescent="0.2">
      <c r="A125" s="93"/>
      <c r="B125" s="104" t="s">
        <v>83</v>
      </c>
      <c r="C125" s="104">
        <v>6</v>
      </c>
      <c r="D125" s="104"/>
      <c r="E125" s="45">
        <v>500000</v>
      </c>
      <c r="F125" s="104"/>
      <c r="G125" s="104"/>
      <c r="H125" s="147">
        <f>+E125*C125</f>
        <v>3000000</v>
      </c>
      <c r="I125" s="85"/>
      <c r="J125" s="138"/>
    </row>
    <row r="126" spans="1:10" s="103" customFormat="1" x14ac:dyDescent="0.2">
      <c r="A126" s="93"/>
      <c r="B126" s="104" t="s">
        <v>85</v>
      </c>
      <c r="C126" s="104">
        <v>6</v>
      </c>
      <c r="D126" s="104"/>
      <c r="E126" s="45">
        <v>100000</v>
      </c>
      <c r="F126" s="104"/>
      <c r="G126" s="104"/>
      <c r="H126" s="147">
        <f t="shared" ref="H126:H131" si="20">+E126*C126</f>
        <v>600000</v>
      </c>
      <c r="I126" s="85"/>
      <c r="J126" s="138"/>
    </row>
    <row r="127" spans="1:10" s="103" customFormat="1" x14ac:dyDescent="0.2">
      <c r="A127" s="93"/>
      <c r="B127" s="104" t="s">
        <v>102</v>
      </c>
      <c r="C127" s="104">
        <v>6</v>
      </c>
      <c r="D127" s="104"/>
      <c r="E127" s="45">
        <v>2300000</v>
      </c>
      <c r="F127" s="104"/>
      <c r="G127" s="104"/>
      <c r="H127" s="147">
        <f t="shared" si="20"/>
        <v>13800000</v>
      </c>
      <c r="I127" s="44"/>
      <c r="J127" s="138"/>
    </row>
    <row r="128" spans="1:10" s="103" customFormat="1" x14ac:dyDescent="0.2">
      <c r="A128" s="93"/>
      <c r="B128" s="104" t="s">
        <v>103</v>
      </c>
      <c r="C128" s="104">
        <v>6</v>
      </c>
      <c r="D128" s="104"/>
      <c r="E128" s="45">
        <v>460000</v>
      </c>
      <c r="F128" s="104"/>
      <c r="G128" s="104"/>
      <c r="H128" s="147">
        <f t="shared" si="20"/>
        <v>2760000</v>
      </c>
      <c r="I128" s="44"/>
      <c r="J128" s="138"/>
    </row>
    <row r="129" spans="1:10" s="103" customFormat="1" x14ac:dyDescent="0.2">
      <c r="A129" s="93"/>
      <c r="B129" s="315" t="s">
        <v>259</v>
      </c>
      <c r="C129" s="104">
        <v>2</v>
      </c>
      <c r="D129" s="104"/>
      <c r="E129" s="45">
        <v>39597849.755999997</v>
      </c>
      <c r="F129" s="104"/>
      <c r="G129" s="104"/>
      <c r="H129" s="147">
        <f t="shared" si="20"/>
        <v>79195699.511999995</v>
      </c>
      <c r="I129" s="44"/>
      <c r="J129" s="138"/>
    </row>
    <row r="130" spans="1:10" s="103" customFormat="1" x14ac:dyDescent="0.2">
      <c r="A130" s="93"/>
      <c r="B130" s="104" t="s">
        <v>368</v>
      </c>
      <c r="C130" s="104">
        <v>5</v>
      </c>
      <c r="D130" s="104"/>
      <c r="E130" s="109">
        <v>9907096</v>
      </c>
      <c r="F130" s="104"/>
      <c r="G130" s="104">
        <v>10</v>
      </c>
      <c r="H130" s="147">
        <f>+E130*C130*G130</f>
        <v>495354800</v>
      </c>
      <c r="I130" s="84"/>
      <c r="J130" s="138"/>
    </row>
    <row r="131" spans="1:10" ht="15" x14ac:dyDescent="0.25">
      <c r="B131" s="104" t="s">
        <v>369</v>
      </c>
      <c r="C131" s="104">
        <v>4</v>
      </c>
      <c r="D131" s="104"/>
      <c r="E131" s="109">
        <v>1313122</v>
      </c>
      <c r="F131" s="98"/>
      <c r="G131" s="104"/>
      <c r="H131" s="147">
        <f t="shared" si="20"/>
        <v>5252488</v>
      </c>
      <c r="I131" s="99" t="s">
        <v>174</v>
      </c>
      <c r="J131" s="53"/>
    </row>
    <row r="132" spans="1:10" ht="15" x14ac:dyDescent="0.25">
      <c r="B132" s="104" t="s">
        <v>373</v>
      </c>
      <c r="C132" s="104"/>
      <c r="D132" s="104"/>
      <c r="E132" s="109"/>
      <c r="F132" s="98"/>
      <c r="G132" s="104"/>
      <c r="H132" s="147" t="s">
        <v>78</v>
      </c>
      <c r="I132" s="99"/>
      <c r="J132" s="53"/>
    </row>
    <row r="133" spans="1:10" s="103" customFormat="1" ht="15" x14ac:dyDescent="0.25">
      <c r="A133" s="93"/>
      <c r="B133" s="324" t="s">
        <v>371</v>
      </c>
      <c r="C133" s="324"/>
      <c r="D133" s="324"/>
      <c r="E133" s="324"/>
      <c r="F133" s="324"/>
      <c r="G133" s="324"/>
      <c r="H133" s="325">
        <f>SUM(H125:H131)</f>
        <v>599962987.51199996</v>
      </c>
      <c r="I133" s="99">
        <f>H133/12</f>
        <v>49996915.625999995</v>
      </c>
      <c r="J133" s="138"/>
    </row>
    <row r="134" spans="1:10" s="103" customFormat="1" ht="15" x14ac:dyDescent="0.25">
      <c r="A134" s="93"/>
      <c r="B134" s="331" t="s">
        <v>372</v>
      </c>
      <c r="C134" s="326"/>
      <c r="D134" s="326"/>
      <c r="E134" s="326"/>
      <c r="F134" s="326"/>
      <c r="G134" s="326"/>
      <c r="H134" s="327">
        <f>+H133-H129</f>
        <v>520767288</v>
      </c>
      <c r="I134" s="44"/>
      <c r="J134" s="138"/>
    </row>
    <row r="135" spans="1:10" s="103" customFormat="1" ht="108.75" customHeight="1" x14ac:dyDescent="0.2">
      <c r="A135" s="93"/>
      <c r="B135" s="332" t="s">
        <v>420</v>
      </c>
      <c r="C135" s="314"/>
      <c r="D135" s="141"/>
      <c r="E135" s="141"/>
      <c r="F135" s="102"/>
      <c r="G135" s="102"/>
      <c r="H135" s="328">
        <f>E135*C135</f>
        <v>0</v>
      </c>
      <c r="I135" s="44"/>
    </row>
  </sheetData>
  <sheetProtection algorithmName="SHA-512" hashValue="nP/CwLqJr+NeYnM6jNbvAUw/wHjDuJKkZnzx6TG5KQCOZSXRAXfiRECyK3TODllUZ9n1tL7Q/2B3RqKB5TtMmQ==" saltValue="h4TiRmbDeEg54yx/ylG9MQ==" spinCount="100000" sheet="1" objects="1" scenarios="1"/>
  <mergeCells count="5">
    <mergeCell ref="B15:H16"/>
    <mergeCell ref="B38:H38"/>
    <mergeCell ref="B67:H67"/>
    <mergeCell ref="B94:H94"/>
    <mergeCell ref="B122:H1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4"/>
  <sheetViews>
    <sheetView showGridLines="0" zoomScale="60" zoomScaleNormal="60" workbookViewId="0">
      <selection activeCell="B10" sqref="B10"/>
    </sheetView>
  </sheetViews>
  <sheetFormatPr baseColWidth="10" defaultColWidth="10.7109375" defaultRowHeight="14.25" x14ac:dyDescent="0.2"/>
  <cols>
    <col min="1" max="1" width="13.42578125" style="102" customWidth="1"/>
    <col min="2" max="2" width="67.42578125" style="102" customWidth="1"/>
    <col min="3" max="3" width="29.85546875" style="102" customWidth="1"/>
    <col min="4" max="4" width="23.85546875" style="102" customWidth="1"/>
    <col min="5" max="5" width="22.42578125" style="102" customWidth="1"/>
    <col min="6" max="6" width="23" style="102" bestFit="1" customWidth="1"/>
    <col min="7" max="8" width="24.42578125" style="102" bestFit="1" customWidth="1"/>
    <col min="9" max="9" width="23" style="102" bestFit="1" customWidth="1"/>
    <col min="10" max="10" width="24.42578125" style="102" bestFit="1" customWidth="1"/>
    <col min="11" max="11" width="22.42578125" style="102" customWidth="1"/>
    <col min="12" max="12" width="24.42578125" style="102" bestFit="1" customWidth="1"/>
    <col min="13" max="13" width="23" style="102" bestFit="1" customWidth="1"/>
    <col min="14" max="14" width="24.42578125" style="102" bestFit="1" customWidth="1"/>
    <col min="15" max="24" width="23" style="102" bestFit="1" customWidth="1"/>
    <col min="25" max="25" width="26.8554687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B2" s="58" t="s">
        <v>98</v>
      </c>
    </row>
    <row r="3" spans="1:26" s="103" customFormat="1" ht="15" x14ac:dyDescent="0.25">
      <c r="A3" s="50"/>
    </row>
    <row r="4" spans="1:26" ht="21.75" customHeight="1" x14ac:dyDescent="0.25">
      <c r="A4" s="59"/>
      <c r="B4" s="171" t="str">
        <f>'PPP_V3_y Costos'!C11</f>
        <v xml:space="preserve">4. Mejora de la gestión del agua y del suelo en el cultivo de maíz. </v>
      </c>
      <c r="C4" s="61"/>
      <c r="D4" s="103"/>
    </row>
    <row r="5" spans="1:26" ht="26.25" customHeight="1" x14ac:dyDescent="0.2">
      <c r="D5" s="103"/>
    </row>
    <row r="6" spans="1:26" ht="15" x14ac:dyDescent="0.25">
      <c r="D6" s="103"/>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175" customFormat="1" ht="26.25" customHeight="1" x14ac:dyDescent="0.25">
      <c r="A7" s="106"/>
      <c r="B7" s="172" t="s">
        <v>29</v>
      </c>
      <c r="C7" s="65" t="s">
        <v>77</v>
      </c>
      <c r="D7" s="65" t="s">
        <v>380</v>
      </c>
      <c r="E7" s="173">
        <f t="shared" ref="E7" si="0">SUM(E8:E9)</f>
        <v>706550282.5</v>
      </c>
      <c r="F7" s="173">
        <f>SUM(F8:F9)</f>
        <v>8510793005.000001</v>
      </c>
      <c r="G7" s="173">
        <f t="shared" ref="G7:X7" si="1">SUM(G8:G9)</f>
        <v>8510793005.000001</v>
      </c>
      <c r="H7" s="173">
        <f t="shared" si="1"/>
        <v>8098854387.000001</v>
      </c>
      <c r="I7" s="173">
        <f t="shared" si="1"/>
        <v>7686915769.000001</v>
      </c>
      <c r="J7" s="173">
        <f t="shared" si="1"/>
        <v>5890561184.000001</v>
      </c>
      <c r="K7" s="173">
        <f t="shared" si="1"/>
        <v>5684591875.000001</v>
      </c>
      <c r="L7" s="173">
        <f t="shared" si="1"/>
        <v>5890561184.000001</v>
      </c>
      <c r="M7" s="173">
        <f t="shared" si="1"/>
        <v>5684591875.000001</v>
      </c>
      <c r="N7" s="173">
        <f t="shared" si="1"/>
        <v>5890561184.000001</v>
      </c>
      <c r="O7" s="173">
        <f t="shared" si="1"/>
        <v>5684591875.000001</v>
      </c>
      <c r="P7" s="173">
        <f t="shared" si="1"/>
        <v>4203061184.000001</v>
      </c>
      <c r="Q7" s="173">
        <f t="shared" si="1"/>
        <v>3997091875.000001</v>
      </c>
      <c r="R7" s="173">
        <f t="shared" si="1"/>
        <v>3997091875.000001</v>
      </c>
      <c r="S7" s="173">
        <f t="shared" si="1"/>
        <v>3997091875.000001</v>
      </c>
      <c r="T7" s="173">
        <f t="shared" si="1"/>
        <v>3997091875.000001</v>
      </c>
      <c r="U7" s="173">
        <f t="shared" si="1"/>
        <v>3997091875.000001</v>
      </c>
      <c r="V7" s="173">
        <f t="shared" si="1"/>
        <v>3997091875.000001</v>
      </c>
      <c r="W7" s="173">
        <f t="shared" si="1"/>
        <v>3997091875.000001</v>
      </c>
      <c r="X7" s="173">
        <f t="shared" si="1"/>
        <v>3997091875.000001</v>
      </c>
      <c r="Y7" s="173">
        <f>SUM(E7:X7)</f>
        <v>104419161809.5</v>
      </c>
      <c r="Z7" s="174"/>
    </row>
    <row r="8" spans="1:26" s="71" customFormat="1" ht="45.75" customHeight="1" x14ac:dyDescent="0.2">
      <c r="A8" s="68"/>
      <c r="B8" s="69" t="str">
        <f>'PPP_V3_y Costos'!D11</f>
        <v>4.1. Contribución a la gestión del ordenamiento ambiental, fuera de la frontera agrícola.</v>
      </c>
      <c r="C8" s="144" t="s">
        <v>235</v>
      </c>
      <c r="D8" s="342" t="s">
        <v>381</v>
      </c>
      <c r="E8" s="70">
        <f>+H27*3</f>
        <v>205969309</v>
      </c>
      <c r="F8" s="70">
        <f>+H26</f>
        <v>823877236</v>
      </c>
      <c r="G8" s="70">
        <f>+H26</f>
        <v>823877236</v>
      </c>
      <c r="H8" s="70">
        <f>+H27*6</f>
        <v>411938618</v>
      </c>
      <c r="I8" s="70">
        <v>0</v>
      </c>
      <c r="J8" s="70">
        <f>+H27*3</f>
        <v>205969309</v>
      </c>
      <c r="K8" s="70">
        <v>0</v>
      </c>
      <c r="L8" s="70">
        <f>+H27*3</f>
        <v>205969309</v>
      </c>
      <c r="M8" s="70">
        <v>0</v>
      </c>
      <c r="N8" s="70">
        <f>+H27*3</f>
        <v>205969309</v>
      </c>
      <c r="O8" s="70">
        <v>0</v>
      </c>
      <c r="P8" s="70">
        <f>+H27*3</f>
        <v>205969309</v>
      </c>
      <c r="Q8" s="70"/>
      <c r="R8" s="70"/>
      <c r="S8" s="70"/>
      <c r="T8" s="70"/>
      <c r="U8" s="70"/>
      <c r="V8" s="70"/>
      <c r="W8" s="70"/>
      <c r="X8" s="70"/>
      <c r="Y8" s="70">
        <f>SUM(E8:X8)</f>
        <v>3089539635</v>
      </c>
      <c r="Z8" s="67"/>
    </row>
    <row r="9" spans="1:26" s="71" customFormat="1" ht="42.95" customHeight="1" x14ac:dyDescent="0.2">
      <c r="A9" s="68"/>
      <c r="B9" s="69" t="str">
        <f>'PPP_V3_y Costos'!D12</f>
        <v>4.2. Promoción del manejo eficiente del suelo y del agua, en la producción de maíz.</v>
      </c>
      <c r="C9" s="144" t="s">
        <v>235</v>
      </c>
      <c r="D9" s="342" t="s">
        <v>177</v>
      </c>
      <c r="E9" s="146">
        <f>I56*3</f>
        <v>500580973.5</v>
      </c>
      <c r="F9" s="70">
        <f>H57</f>
        <v>7686915769.000001</v>
      </c>
      <c r="G9" s="70">
        <f>F9</f>
        <v>7686915769.000001</v>
      </c>
      <c r="H9" s="70">
        <f>G9</f>
        <v>7686915769.000001</v>
      </c>
      <c r="I9" s="70">
        <f>H9</f>
        <v>7686915769.000001</v>
      </c>
      <c r="J9" s="70">
        <f>H58</f>
        <v>5684591875.000001</v>
      </c>
      <c r="K9" s="70">
        <f>J9</f>
        <v>5684591875.000001</v>
      </c>
      <c r="L9" s="70">
        <f>K9</f>
        <v>5684591875.000001</v>
      </c>
      <c r="M9" s="70">
        <f>L9</f>
        <v>5684591875.000001</v>
      </c>
      <c r="N9" s="70">
        <f>M9</f>
        <v>5684591875.000001</v>
      </c>
      <c r="O9" s="70">
        <f>N9</f>
        <v>5684591875.000001</v>
      </c>
      <c r="P9" s="70">
        <f>H59</f>
        <v>3997091875.000001</v>
      </c>
      <c r="Q9" s="70">
        <f t="shared" ref="Q9:X9" si="2">P9</f>
        <v>3997091875.000001</v>
      </c>
      <c r="R9" s="70">
        <f t="shared" si="2"/>
        <v>3997091875.000001</v>
      </c>
      <c r="S9" s="70">
        <f t="shared" si="2"/>
        <v>3997091875.000001</v>
      </c>
      <c r="T9" s="70">
        <f t="shared" si="2"/>
        <v>3997091875.000001</v>
      </c>
      <c r="U9" s="70">
        <f t="shared" si="2"/>
        <v>3997091875.000001</v>
      </c>
      <c r="V9" s="70">
        <f t="shared" si="2"/>
        <v>3997091875.000001</v>
      </c>
      <c r="W9" s="70">
        <f t="shared" si="2"/>
        <v>3997091875.000001</v>
      </c>
      <c r="X9" s="70">
        <f t="shared" si="2"/>
        <v>3997091875.000001</v>
      </c>
      <c r="Y9" s="70">
        <f>SUM(E9:X9)</f>
        <v>101329622174.50002</v>
      </c>
      <c r="Z9" s="67"/>
    </row>
    <row r="10" spans="1:26" s="175" customFormat="1" ht="24.75" customHeight="1" x14ac:dyDescent="0.25">
      <c r="A10" s="106"/>
      <c r="B10" s="172" t="s">
        <v>33</v>
      </c>
      <c r="C10" s="172"/>
      <c r="D10" s="172"/>
      <c r="E10" s="176"/>
      <c r="F10" s="176"/>
      <c r="G10" s="176"/>
      <c r="H10" s="176"/>
      <c r="I10" s="176"/>
      <c r="J10" s="176"/>
      <c r="K10" s="176"/>
      <c r="L10" s="176"/>
      <c r="M10" s="176"/>
      <c r="N10" s="176"/>
      <c r="O10" s="176"/>
      <c r="P10" s="176"/>
      <c r="Q10" s="176"/>
      <c r="R10" s="176"/>
      <c r="S10" s="176"/>
      <c r="T10" s="176"/>
      <c r="U10" s="176"/>
      <c r="V10" s="176"/>
      <c r="W10" s="176"/>
      <c r="X10" s="176"/>
      <c r="Y10" s="176"/>
      <c r="Z10" s="174"/>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20" t="str">
        <f>B8</f>
        <v>4.1. Contribución a la gestión del ordenamiento ambiental, fuera de la frontera agrícola.</v>
      </c>
      <c r="C13" s="721"/>
      <c r="D13" s="721"/>
      <c r="E13" s="721"/>
      <c r="F13" s="721"/>
      <c r="G13" s="721"/>
      <c r="H13" s="721"/>
      <c r="I13" s="340"/>
      <c r="X13" s="78"/>
    </row>
    <row r="14" spans="1:26" s="103" customFormat="1" ht="14.45" customHeight="1" x14ac:dyDescent="0.25">
      <c r="B14" s="721"/>
      <c r="C14" s="721"/>
      <c r="D14" s="721"/>
      <c r="E14" s="721"/>
      <c r="F14" s="721"/>
      <c r="G14" s="721"/>
      <c r="H14" s="721"/>
      <c r="I14" s="340"/>
      <c r="X14" s="78"/>
    </row>
    <row r="15" spans="1:26" s="106" customFormat="1" ht="22.5" customHeight="1" x14ac:dyDescent="0.25">
      <c r="B15" s="177" t="s">
        <v>79</v>
      </c>
      <c r="C15" s="177" t="s">
        <v>59</v>
      </c>
      <c r="D15" s="177" t="s">
        <v>56</v>
      </c>
      <c r="E15" s="177" t="s">
        <v>55</v>
      </c>
      <c r="F15" s="178" t="s">
        <v>108</v>
      </c>
      <c r="G15" s="177" t="s">
        <v>81</v>
      </c>
      <c r="H15" s="177" t="s">
        <v>82</v>
      </c>
      <c r="X15" s="179"/>
    </row>
    <row r="16" spans="1:26" x14ac:dyDescent="0.2">
      <c r="B16" s="180" t="s">
        <v>83</v>
      </c>
      <c r="C16" s="104">
        <v>7</v>
      </c>
      <c r="D16" s="104" t="s">
        <v>84</v>
      </c>
      <c r="E16" s="45">
        <v>500000</v>
      </c>
      <c r="F16" s="104"/>
      <c r="G16" s="104"/>
      <c r="H16" s="82">
        <f t="shared" ref="H16:H21" si="3">+C16*E16</f>
        <v>3500000</v>
      </c>
      <c r="I16" s="53"/>
    </row>
    <row r="17" spans="1:10" x14ac:dyDescent="0.2">
      <c r="B17" s="180" t="s">
        <v>85</v>
      </c>
      <c r="C17" s="104">
        <v>21</v>
      </c>
      <c r="D17" s="104" t="s">
        <v>84</v>
      </c>
      <c r="E17" s="45">
        <v>100000</v>
      </c>
      <c r="F17" s="104"/>
      <c r="G17" s="104"/>
      <c r="H17" s="82">
        <f t="shared" si="3"/>
        <v>2100000</v>
      </c>
      <c r="I17" s="53"/>
    </row>
    <row r="18" spans="1:10" x14ac:dyDescent="0.2">
      <c r="B18" s="180" t="s">
        <v>290</v>
      </c>
      <c r="C18" s="104">
        <v>7</v>
      </c>
      <c r="D18" s="104" t="s">
        <v>84</v>
      </c>
      <c r="E18" s="45">
        <v>2300000</v>
      </c>
      <c r="F18" s="104"/>
      <c r="G18" s="104"/>
      <c r="H18" s="82">
        <f t="shared" si="3"/>
        <v>16100000</v>
      </c>
      <c r="I18" s="53"/>
    </row>
    <row r="19" spans="1:10" x14ac:dyDescent="0.2">
      <c r="B19" s="180" t="s">
        <v>282</v>
      </c>
      <c r="C19" s="104">
        <v>21</v>
      </c>
      <c r="D19" s="104" t="s">
        <v>84</v>
      </c>
      <c r="E19" s="109">
        <v>460000</v>
      </c>
      <c r="F19" s="104"/>
      <c r="G19" s="104"/>
      <c r="H19" s="82">
        <f t="shared" si="3"/>
        <v>9660000</v>
      </c>
      <c r="I19" s="53"/>
    </row>
    <row r="20" spans="1:10" x14ac:dyDescent="0.2">
      <c r="B20" s="181" t="s">
        <v>61</v>
      </c>
      <c r="C20" s="49">
        <v>7</v>
      </c>
      <c r="D20" s="49" t="s">
        <v>84</v>
      </c>
      <c r="E20" s="150">
        <v>14500000</v>
      </c>
      <c r="F20" s="104"/>
      <c r="G20" s="104"/>
      <c r="H20" s="82">
        <f t="shared" si="3"/>
        <v>101500000</v>
      </c>
      <c r="I20" s="53"/>
    </row>
    <row r="21" spans="1:10" x14ac:dyDescent="0.2">
      <c r="B21" s="181" t="s">
        <v>291</v>
      </c>
      <c r="C21" s="49">
        <v>7</v>
      </c>
      <c r="D21" s="49" t="s">
        <v>84</v>
      </c>
      <c r="E21" s="150">
        <v>2000000</v>
      </c>
      <c r="F21" s="104"/>
      <c r="G21" s="104"/>
      <c r="H21" s="82">
        <f t="shared" si="3"/>
        <v>14000000</v>
      </c>
      <c r="I21" s="53"/>
    </row>
    <row r="22" spans="1:10" x14ac:dyDescent="0.2">
      <c r="B22" s="181" t="s">
        <v>249</v>
      </c>
      <c r="C22" s="49">
        <v>7</v>
      </c>
      <c r="D22" s="49" t="s">
        <v>196</v>
      </c>
      <c r="E22" s="150">
        <v>6604729</v>
      </c>
      <c r="F22" s="98">
        <v>1</v>
      </c>
      <c r="G22" s="104">
        <v>12</v>
      </c>
      <c r="H22" s="82">
        <f>+C22*E22*G22*F22</f>
        <v>554797236</v>
      </c>
      <c r="I22" s="53"/>
    </row>
    <row r="23" spans="1:10" x14ac:dyDescent="0.2">
      <c r="B23" s="181" t="s">
        <v>57</v>
      </c>
      <c r="C23" s="49">
        <v>7</v>
      </c>
      <c r="D23" s="49" t="s">
        <v>185</v>
      </c>
      <c r="E23" s="150">
        <v>1300000</v>
      </c>
      <c r="F23" s="98"/>
      <c r="G23" s="104">
        <v>12</v>
      </c>
      <c r="H23" s="82">
        <f>+C23*E23*G23</f>
        <v>109200000</v>
      </c>
      <c r="I23" s="53"/>
    </row>
    <row r="24" spans="1:10" x14ac:dyDescent="0.2">
      <c r="B24" s="181" t="s">
        <v>194</v>
      </c>
      <c r="C24" s="49">
        <v>7</v>
      </c>
      <c r="D24" s="49" t="s">
        <v>185</v>
      </c>
      <c r="E24" s="150">
        <v>155000</v>
      </c>
      <c r="F24" s="98"/>
      <c r="G24" s="104">
        <v>12</v>
      </c>
      <c r="H24" s="82">
        <f>+C24*E24*G24</f>
        <v>13020000</v>
      </c>
      <c r="I24" s="53"/>
    </row>
    <row r="25" spans="1:10" x14ac:dyDescent="0.2">
      <c r="B25" s="181" t="s">
        <v>193</v>
      </c>
      <c r="C25" s="49"/>
      <c r="D25" s="49"/>
      <c r="E25" s="150"/>
      <c r="F25" s="104"/>
      <c r="G25" s="104"/>
      <c r="H25" s="140" t="s">
        <v>78</v>
      </c>
      <c r="I25" s="53"/>
    </row>
    <row r="26" spans="1:10" s="106" customFormat="1" ht="15" x14ac:dyDescent="0.25">
      <c r="B26" s="182" t="s">
        <v>33</v>
      </c>
      <c r="C26" s="183"/>
      <c r="D26" s="183"/>
      <c r="E26" s="183"/>
      <c r="F26" s="184"/>
      <c r="G26" s="184"/>
      <c r="H26" s="185">
        <f>SUM(H16:H25)</f>
        <v>823877236</v>
      </c>
      <c r="J26" s="186"/>
    </row>
    <row r="27" spans="1:10" s="106" customFormat="1" ht="15" x14ac:dyDescent="0.2">
      <c r="B27" s="182" t="s">
        <v>292</v>
      </c>
      <c r="C27" s="384"/>
      <c r="D27" s="384"/>
      <c r="E27" s="384"/>
      <c r="F27" s="384"/>
      <c r="G27" s="384"/>
      <c r="H27" s="185">
        <f>+H26/12</f>
        <v>68656436.333333328</v>
      </c>
      <c r="I27" s="102"/>
      <c r="J27" s="186"/>
    </row>
    <row r="28" spans="1:10" s="103" customFormat="1" ht="155.25" customHeight="1" x14ac:dyDescent="0.2">
      <c r="B28" s="187" t="s">
        <v>293</v>
      </c>
      <c r="C28" s="339"/>
      <c r="D28" s="339"/>
      <c r="E28" s="339"/>
      <c r="F28" s="339"/>
      <c r="G28" s="339"/>
      <c r="H28" s="339"/>
    </row>
    <row r="29" spans="1:10" s="103" customFormat="1" ht="27" customHeight="1" x14ac:dyDescent="0.2">
      <c r="A29" s="92"/>
      <c r="B29" s="720" t="str">
        <f>B9</f>
        <v>4.2. Promoción del manejo eficiente del suelo y del agua, en la producción de maíz.</v>
      </c>
      <c r="C29" s="721"/>
      <c r="D29" s="721"/>
      <c r="E29" s="721"/>
      <c r="F29" s="721"/>
      <c r="G29" s="721"/>
      <c r="H29" s="721"/>
    </row>
    <row r="30" spans="1:10" s="106" customFormat="1" ht="18.75" customHeight="1" x14ac:dyDescent="0.25">
      <c r="B30" s="177" t="s">
        <v>79</v>
      </c>
      <c r="C30" s="177" t="s">
        <v>59</v>
      </c>
      <c r="D30" s="177" t="s">
        <v>56</v>
      </c>
      <c r="E30" s="177" t="s">
        <v>55</v>
      </c>
      <c r="F30" s="177" t="s">
        <v>80</v>
      </c>
      <c r="G30" s="177" t="s">
        <v>81</v>
      </c>
      <c r="H30" s="177" t="s">
        <v>82</v>
      </c>
    </row>
    <row r="31" spans="1:10" s="103" customFormat="1" x14ac:dyDescent="0.2">
      <c r="A31" s="93"/>
      <c r="B31" s="180" t="s">
        <v>83</v>
      </c>
      <c r="C31" s="104">
        <v>4</v>
      </c>
      <c r="D31" s="104" t="s">
        <v>84</v>
      </c>
      <c r="E31" s="188">
        <v>500000</v>
      </c>
      <c r="F31" s="104"/>
      <c r="G31" s="104"/>
      <c r="H31" s="82">
        <f t="shared" ref="H31:H45" si="4">+C31*E31</f>
        <v>2000000</v>
      </c>
      <c r="I31" s="44"/>
      <c r="J31" s="386"/>
    </row>
    <row r="32" spans="1:10" s="103" customFormat="1" x14ac:dyDescent="0.2">
      <c r="B32" s="180" t="s">
        <v>85</v>
      </c>
      <c r="C32" s="104">
        <v>19</v>
      </c>
      <c r="D32" s="104" t="s">
        <v>84</v>
      </c>
      <c r="E32" s="188">
        <v>100000</v>
      </c>
      <c r="F32" s="104"/>
      <c r="G32" s="104"/>
      <c r="H32" s="82">
        <f t="shared" si="4"/>
        <v>1900000</v>
      </c>
      <c r="I32" s="44"/>
      <c r="J32" s="386"/>
    </row>
    <row r="33" spans="1:10" s="103" customFormat="1" x14ac:dyDescent="0.2">
      <c r="A33" s="93"/>
      <c r="B33" s="180" t="s">
        <v>294</v>
      </c>
      <c r="C33" s="105">
        <v>4</v>
      </c>
      <c r="D33" s="104" t="s">
        <v>84</v>
      </c>
      <c r="E33" s="188">
        <v>2300000</v>
      </c>
      <c r="F33" s="104"/>
      <c r="G33" s="104"/>
      <c r="H33" s="82">
        <f t="shared" si="4"/>
        <v>9200000</v>
      </c>
      <c r="I33" s="84"/>
      <c r="J33" s="386"/>
    </row>
    <row r="34" spans="1:10" s="103" customFormat="1" x14ac:dyDescent="0.2">
      <c r="A34" s="93"/>
      <c r="B34" s="180" t="s">
        <v>290</v>
      </c>
      <c r="C34" s="105">
        <v>19</v>
      </c>
      <c r="D34" s="104" t="s">
        <v>84</v>
      </c>
      <c r="E34" s="188">
        <v>2300000</v>
      </c>
      <c r="F34" s="104"/>
      <c r="G34" s="104"/>
      <c r="H34" s="82">
        <f t="shared" si="4"/>
        <v>43700000</v>
      </c>
      <c r="I34" s="85"/>
      <c r="J34" s="386"/>
    </row>
    <row r="35" spans="1:10" s="103" customFormat="1" x14ac:dyDescent="0.2">
      <c r="B35" s="180" t="s">
        <v>282</v>
      </c>
      <c r="C35" s="105">
        <v>19</v>
      </c>
      <c r="D35" s="104" t="s">
        <v>84</v>
      </c>
      <c r="E35" s="188">
        <v>460000</v>
      </c>
      <c r="F35" s="104"/>
      <c r="G35" s="104"/>
      <c r="H35" s="82">
        <f t="shared" si="4"/>
        <v>8740000</v>
      </c>
      <c r="I35" s="84"/>
      <c r="J35" s="386"/>
    </row>
    <row r="36" spans="1:10" s="103" customFormat="1" x14ac:dyDescent="0.2">
      <c r="B36" s="180" t="s">
        <v>295</v>
      </c>
      <c r="C36" s="47">
        <v>10</v>
      </c>
      <c r="D36" s="104" t="s">
        <v>84</v>
      </c>
      <c r="E36" s="188">
        <v>5170000</v>
      </c>
      <c r="F36" s="104"/>
      <c r="G36" s="104"/>
      <c r="H36" s="82">
        <f t="shared" si="4"/>
        <v>51700000</v>
      </c>
      <c r="I36" s="84"/>
      <c r="J36" s="386"/>
    </row>
    <row r="37" spans="1:10" s="103" customFormat="1" x14ac:dyDescent="0.2">
      <c r="B37" s="180" t="s">
        <v>61</v>
      </c>
      <c r="C37" s="105">
        <v>4</v>
      </c>
      <c r="D37" s="104" t="s">
        <v>84</v>
      </c>
      <c r="E37" s="188">
        <v>14500000</v>
      </c>
      <c r="F37" s="104"/>
      <c r="G37" s="104"/>
      <c r="H37" s="82">
        <f t="shared" si="4"/>
        <v>58000000</v>
      </c>
      <c r="I37" s="84"/>
      <c r="J37" s="386"/>
    </row>
    <row r="38" spans="1:10" s="103" customFormat="1" x14ac:dyDescent="0.2">
      <c r="B38" s="180" t="s">
        <v>208</v>
      </c>
      <c r="C38" s="105">
        <v>4</v>
      </c>
      <c r="D38" s="104" t="s">
        <v>84</v>
      </c>
      <c r="E38" s="188">
        <v>2000000</v>
      </c>
      <c r="F38" s="104"/>
      <c r="G38" s="104"/>
      <c r="H38" s="82">
        <f t="shared" si="4"/>
        <v>8000000</v>
      </c>
      <c r="I38" s="84"/>
      <c r="J38" s="386"/>
    </row>
    <row r="39" spans="1:10" x14ac:dyDescent="0.2">
      <c r="B39" s="180" t="s">
        <v>296</v>
      </c>
      <c r="C39" s="105">
        <f>10*6</f>
        <v>60</v>
      </c>
      <c r="D39" s="104" t="s">
        <v>84</v>
      </c>
      <c r="E39" s="188">
        <v>3270000</v>
      </c>
      <c r="F39" s="104"/>
      <c r="G39" s="104"/>
      <c r="H39" s="82">
        <f t="shared" si="4"/>
        <v>196200000</v>
      </c>
      <c r="I39" s="44"/>
      <c r="J39" s="53"/>
    </row>
    <row r="40" spans="1:10" x14ac:dyDescent="0.2">
      <c r="B40" s="180" t="s">
        <v>87</v>
      </c>
      <c r="C40" s="104">
        <v>4</v>
      </c>
      <c r="D40" s="104" t="s">
        <v>297</v>
      </c>
      <c r="E40" s="188">
        <v>6000000</v>
      </c>
      <c r="F40" s="94"/>
      <c r="G40" s="104"/>
      <c r="H40" s="82">
        <f t="shared" si="4"/>
        <v>24000000</v>
      </c>
      <c r="I40" s="44"/>
      <c r="J40" s="53"/>
    </row>
    <row r="41" spans="1:10" x14ac:dyDescent="0.2">
      <c r="B41" s="180" t="s">
        <v>88</v>
      </c>
      <c r="C41" s="104">
        <v>10</v>
      </c>
      <c r="D41" s="104" t="s">
        <v>84</v>
      </c>
      <c r="E41" s="188">
        <v>1800000</v>
      </c>
      <c r="F41" s="97"/>
      <c r="G41" s="104"/>
      <c r="H41" s="82">
        <f t="shared" si="4"/>
        <v>18000000</v>
      </c>
      <c r="I41" s="44"/>
      <c r="J41" s="386"/>
    </row>
    <row r="42" spans="1:10" x14ac:dyDescent="0.2">
      <c r="B42" s="180" t="s">
        <v>178</v>
      </c>
      <c r="C42" s="104">
        <v>4</v>
      </c>
      <c r="D42" s="104" t="s">
        <v>298</v>
      </c>
      <c r="E42" s="188">
        <v>1500000</v>
      </c>
      <c r="F42" s="97"/>
      <c r="G42" s="104"/>
      <c r="H42" s="82">
        <f t="shared" si="4"/>
        <v>6000000</v>
      </c>
      <c r="I42" s="44"/>
      <c r="J42" s="386"/>
    </row>
    <row r="43" spans="1:10" x14ac:dyDescent="0.2">
      <c r="B43" s="180" t="s">
        <v>89</v>
      </c>
      <c r="C43" s="104">
        <v>10</v>
      </c>
      <c r="D43" s="104" t="s">
        <v>298</v>
      </c>
      <c r="E43" s="188">
        <v>450000</v>
      </c>
      <c r="F43" s="97"/>
      <c r="G43" s="104"/>
      <c r="H43" s="82">
        <f t="shared" si="4"/>
        <v>4500000</v>
      </c>
      <c r="I43" s="44"/>
      <c r="J43" s="386"/>
    </row>
    <row r="44" spans="1:10" x14ac:dyDescent="0.2">
      <c r="B44" s="399" t="s">
        <v>191</v>
      </c>
      <c r="C44" s="105">
        <v>4</v>
      </c>
      <c r="D44" s="105" t="s">
        <v>298</v>
      </c>
      <c r="E44" s="400">
        <v>3000000</v>
      </c>
      <c r="F44" s="391"/>
      <c r="G44" s="105"/>
      <c r="H44" s="82">
        <f t="shared" si="4"/>
        <v>12000000</v>
      </c>
      <c r="I44" s="44"/>
      <c r="J44" s="386"/>
    </row>
    <row r="45" spans="1:10" x14ac:dyDescent="0.2">
      <c r="B45" s="399" t="s">
        <v>192</v>
      </c>
      <c r="C45" s="105">
        <v>10</v>
      </c>
      <c r="D45" s="105" t="s">
        <v>298</v>
      </c>
      <c r="E45" s="400">
        <v>900000</v>
      </c>
      <c r="F45" s="209"/>
      <c r="G45" s="105"/>
      <c r="H45" s="82">
        <f t="shared" si="4"/>
        <v>9000000</v>
      </c>
      <c r="I45" s="44"/>
      <c r="J45" s="386"/>
    </row>
    <row r="46" spans="1:10" x14ac:dyDescent="0.2">
      <c r="B46" s="399" t="s">
        <v>230</v>
      </c>
      <c r="C46" s="105">
        <v>2</v>
      </c>
      <c r="D46" s="105" t="s">
        <v>196</v>
      </c>
      <c r="E46" s="400">
        <v>7862772</v>
      </c>
      <c r="F46" s="209">
        <v>1</v>
      </c>
      <c r="G46" s="105">
        <v>12</v>
      </c>
      <c r="H46" s="82">
        <f>+C46*E46*F46*G46</f>
        <v>188706528</v>
      </c>
      <c r="I46" s="44"/>
      <c r="J46" s="386"/>
    </row>
    <row r="47" spans="1:10" x14ac:dyDescent="0.2">
      <c r="B47" s="401" t="s">
        <v>91</v>
      </c>
      <c r="C47" s="47">
        <v>2</v>
      </c>
      <c r="D47" s="47" t="s">
        <v>84</v>
      </c>
      <c r="E47" s="402">
        <v>2682805</v>
      </c>
      <c r="F47" s="47"/>
      <c r="G47" s="47">
        <v>3</v>
      </c>
      <c r="H47" s="189">
        <f>+C47*E47*G47</f>
        <v>16096830</v>
      </c>
      <c r="I47" s="44"/>
      <c r="J47" s="386"/>
    </row>
    <row r="48" spans="1:10" x14ac:dyDescent="0.2">
      <c r="A48" s="42"/>
      <c r="B48" s="401" t="s">
        <v>249</v>
      </c>
      <c r="C48" s="47">
        <v>10</v>
      </c>
      <c r="D48" s="47" t="s">
        <v>196</v>
      </c>
      <c r="E48" s="402">
        <v>6604729</v>
      </c>
      <c r="F48" s="391">
        <v>1</v>
      </c>
      <c r="G48" s="47">
        <v>12</v>
      </c>
      <c r="H48" s="189">
        <f>+C48*E48*F48*G48</f>
        <v>792567480</v>
      </c>
      <c r="I48" s="44"/>
      <c r="J48" s="387"/>
    </row>
    <row r="49" spans="1:10" x14ac:dyDescent="0.2">
      <c r="A49" s="42"/>
      <c r="B49" s="401" t="s">
        <v>57</v>
      </c>
      <c r="C49" s="47">
        <v>10</v>
      </c>
      <c r="D49" s="47" t="s">
        <v>185</v>
      </c>
      <c r="E49" s="402">
        <v>1300000</v>
      </c>
      <c r="F49" s="391"/>
      <c r="G49" s="47">
        <v>12</v>
      </c>
      <c r="H49" s="151">
        <f>+C49*E49*G49</f>
        <v>156000000</v>
      </c>
      <c r="I49" s="44"/>
      <c r="J49" s="387"/>
    </row>
    <row r="50" spans="1:10" x14ac:dyDescent="0.2">
      <c r="A50" s="42"/>
      <c r="B50" s="401" t="s">
        <v>194</v>
      </c>
      <c r="C50" s="47">
        <v>10</v>
      </c>
      <c r="D50" s="47" t="s">
        <v>185</v>
      </c>
      <c r="E50" s="189">
        <v>155000</v>
      </c>
      <c r="F50" s="209"/>
      <c r="G50" s="105">
        <v>12</v>
      </c>
      <c r="H50" s="82">
        <f>+C50*E50*G50</f>
        <v>18600000</v>
      </c>
      <c r="I50" s="44"/>
      <c r="J50" s="387"/>
    </row>
    <row r="51" spans="1:10" x14ac:dyDescent="0.2">
      <c r="B51" s="401" t="s">
        <v>299</v>
      </c>
      <c r="C51" s="47">
        <v>4</v>
      </c>
      <c r="D51" s="47" t="s">
        <v>196</v>
      </c>
      <c r="E51" s="402">
        <v>7862772</v>
      </c>
      <c r="F51" s="391">
        <v>1</v>
      </c>
      <c r="G51" s="47">
        <v>12</v>
      </c>
      <c r="H51" s="189">
        <f>+C51*E51*F51*G51</f>
        <v>377413056</v>
      </c>
      <c r="I51" s="44"/>
      <c r="J51" s="387"/>
    </row>
    <row r="52" spans="1:10" x14ac:dyDescent="0.2">
      <c r="B52" s="401" t="s">
        <v>412</v>
      </c>
      <c r="C52" s="403">
        <v>15000</v>
      </c>
      <c r="D52" s="47" t="s">
        <v>411</v>
      </c>
      <c r="E52" s="402">
        <v>1500000</v>
      </c>
      <c r="F52" s="404">
        <v>7.4999999999999997E-2</v>
      </c>
      <c r="G52" s="47"/>
      <c r="H52" s="189">
        <f>C52*E52*F52</f>
        <v>1687500000</v>
      </c>
      <c r="I52" s="44"/>
      <c r="J52" s="387"/>
    </row>
    <row r="53" spans="1:10" x14ac:dyDescent="0.2">
      <c r="B53" s="401" t="s">
        <v>379</v>
      </c>
      <c r="C53" s="405">
        <f>50000*5%</f>
        <v>2500</v>
      </c>
      <c r="D53" s="405" t="s">
        <v>300</v>
      </c>
      <c r="E53" s="402">
        <v>7994183.7500000009</v>
      </c>
      <c r="F53" s="406">
        <v>0.2</v>
      </c>
      <c r="G53" s="405"/>
      <c r="H53" s="341">
        <f>+C53*E53*F53</f>
        <v>3997091875.000001</v>
      </c>
      <c r="I53" s="44"/>
      <c r="J53" s="387"/>
    </row>
    <row r="54" spans="1:10" x14ac:dyDescent="0.2">
      <c r="B54" s="399" t="s">
        <v>301</v>
      </c>
      <c r="C54" s="105"/>
      <c r="D54" s="105"/>
      <c r="E54" s="82"/>
      <c r="F54" s="105"/>
      <c r="G54" s="105"/>
      <c r="H54" s="190" t="s">
        <v>78</v>
      </c>
      <c r="I54" s="44"/>
      <c r="J54" s="53"/>
    </row>
    <row r="55" spans="1:10" ht="15" x14ac:dyDescent="0.2">
      <c r="B55" s="105" t="s">
        <v>187</v>
      </c>
      <c r="C55" s="105"/>
      <c r="D55" s="105"/>
      <c r="E55" s="82"/>
      <c r="F55" s="105"/>
      <c r="G55" s="105"/>
      <c r="H55" s="43" t="s">
        <v>78</v>
      </c>
      <c r="I55" s="191" t="s">
        <v>174</v>
      </c>
      <c r="J55" s="53"/>
    </row>
    <row r="56" spans="1:10" s="106" customFormat="1" ht="20.25" customHeight="1" x14ac:dyDescent="0.25">
      <c r="B56" s="182" t="s">
        <v>264</v>
      </c>
      <c r="C56" s="183"/>
      <c r="D56" s="183"/>
      <c r="E56" s="184"/>
      <c r="F56" s="184"/>
      <c r="G56" s="183"/>
      <c r="H56" s="191">
        <f>SUM(H31:H51)</f>
        <v>2002323894</v>
      </c>
      <c r="I56" s="191">
        <f>H56/12</f>
        <v>166860324.5</v>
      </c>
    </row>
    <row r="57" spans="1:10" s="106" customFormat="1" ht="20.25" customHeight="1" x14ac:dyDescent="0.25">
      <c r="B57" s="182" t="s">
        <v>413</v>
      </c>
      <c r="C57" s="183"/>
      <c r="D57" s="183"/>
      <c r="E57" s="184"/>
      <c r="F57" s="184"/>
      <c r="G57" s="183"/>
      <c r="H57" s="191">
        <f>H56+H52+H53</f>
        <v>7686915769.000001</v>
      </c>
      <c r="I57" s="192"/>
    </row>
    <row r="58" spans="1:10" s="106" customFormat="1" ht="20.25" customHeight="1" x14ac:dyDescent="0.25">
      <c r="B58" s="182" t="s">
        <v>414</v>
      </c>
      <c r="C58" s="183"/>
      <c r="D58" s="183"/>
      <c r="E58" s="184"/>
      <c r="F58" s="184"/>
      <c r="G58" s="183"/>
      <c r="H58" s="191">
        <f>H52+H53</f>
        <v>5684591875.000001</v>
      </c>
      <c r="I58" s="192"/>
    </row>
    <row r="59" spans="1:10" s="106" customFormat="1" ht="20.25" customHeight="1" x14ac:dyDescent="0.25">
      <c r="B59" s="182" t="s">
        <v>266</v>
      </c>
      <c r="C59" s="183"/>
      <c r="D59" s="183"/>
      <c r="E59" s="184"/>
      <c r="F59" s="184"/>
      <c r="G59" s="183"/>
      <c r="H59" s="191">
        <f>H53</f>
        <v>3997091875.000001</v>
      </c>
      <c r="I59" s="192"/>
    </row>
    <row r="60" spans="1:10" ht="384" customHeight="1" x14ac:dyDescent="0.2">
      <c r="B60" s="187" t="s">
        <v>449</v>
      </c>
      <c r="C60" s="103"/>
      <c r="D60" s="103"/>
      <c r="E60" s="103"/>
      <c r="F60" s="103"/>
      <c r="G60" s="103"/>
    </row>
    <row r="62" spans="1:10" x14ac:dyDescent="0.2">
      <c r="G62" s="193"/>
    </row>
    <row r="63" spans="1:10" x14ac:dyDescent="0.2">
      <c r="B63" s="42"/>
      <c r="C63" s="194"/>
      <c r="D63" s="195"/>
      <c r="E63" s="194"/>
      <c r="F63" s="194"/>
      <c r="G63" s="194"/>
      <c r="H63" s="116"/>
    </row>
    <row r="64" spans="1:10" x14ac:dyDescent="0.2">
      <c r="B64" s="42"/>
    </row>
    <row r="66" spans="4:8" x14ac:dyDescent="0.2">
      <c r="F66" s="53"/>
      <c r="H66" s="116"/>
    </row>
    <row r="67" spans="4:8" x14ac:dyDescent="0.2">
      <c r="F67" s="53"/>
      <c r="H67" s="53"/>
    </row>
    <row r="68" spans="4:8" x14ac:dyDescent="0.2">
      <c r="D68" s="53"/>
    </row>
    <row r="69" spans="4:8" x14ac:dyDescent="0.2">
      <c r="D69" s="53"/>
    </row>
    <row r="70" spans="4:8" x14ac:dyDescent="0.2">
      <c r="F70" s="116"/>
    </row>
    <row r="73" spans="4:8" x14ac:dyDescent="0.2">
      <c r="D73" s="53"/>
      <c r="E73" s="53"/>
    </row>
    <row r="81" spans="6:7" x14ac:dyDescent="0.2">
      <c r="F81" s="53"/>
      <c r="G81" s="53"/>
    </row>
    <row r="82" spans="6:7" x14ac:dyDescent="0.2">
      <c r="F82" s="53"/>
      <c r="G82" s="53"/>
    </row>
    <row r="83" spans="6:7" x14ac:dyDescent="0.2">
      <c r="F83" s="53"/>
      <c r="G83" s="53"/>
    </row>
    <row r="84" spans="6:7" x14ac:dyDescent="0.2">
      <c r="F84" s="53"/>
      <c r="G84" s="53"/>
    </row>
    <row r="85" spans="6:7" x14ac:dyDescent="0.2">
      <c r="F85" s="53"/>
      <c r="G85" s="53"/>
    </row>
    <row r="86" spans="6:7" x14ac:dyDescent="0.2">
      <c r="F86" s="53"/>
      <c r="G86" s="53"/>
    </row>
    <row r="87" spans="6:7" x14ac:dyDescent="0.2">
      <c r="F87" s="53"/>
      <c r="G87" s="53"/>
    </row>
    <row r="88" spans="6:7" x14ac:dyDescent="0.2">
      <c r="F88" s="53"/>
      <c r="G88" s="53"/>
    </row>
    <row r="89" spans="6:7" x14ac:dyDescent="0.2">
      <c r="F89" s="53"/>
      <c r="G89" s="53"/>
    </row>
    <row r="90" spans="6:7" x14ac:dyDescent="0.2">
      <c r="F90" s="53"/>
      <c r="G90" s="53"/>
    </row>
    <row r="91" spans="6:7" x14ac:dyDescent="0.2">
      <c r="F91" s="53"/>
      <c r="G91" s="53"/>
    </row>
    <row r="92" spans="6:7" x14ac:dyDescent="0.2">
      <c r="F92" s="53"/>
      <c r="G92" s="53"/>
    </row>
    <row r="93" spans="6:7" x14ac:dyDescent="0.2">
      <c r="F93" s="53"/>
      <c r="G93" s="53"/>
    </row>
    <row r="94" spans="6:7" x14ac:dyDescent="0.2">
      <c r="F94" s="53"/>
      <c r="G94" s="53"/>
    </row>
    <row r="95" spans="6:7" x14ac:dyDescent="0.2">
      <c r="F95" s="53"/>
      <c r="G95" s="53"/>
    </row>
    <row r="96" spans="6:7" x14ac:dyDescent="0.2">
      <c r="F96" s="53"/>
      <c r="G96" s="53"/>
    </row>
    <row r="97" spans="6:7" x14ac:dyDescent="0.2">
      <c r="F97" s="53"/>
      <c r="G97" s="53"/>
    </row>
    <row r="98" spans="6:7" x14ac:dyDescent="0.2">
      <c r="F98" s="53"/>
      <c r="G98" s="53"/>
    </row>
    <row r="99" spans="6:7" x14ac:dyDescent="0.2">
      <c r="F99" s="53"/>
      <c r="G99" s="53"/>
    </row>
    <row r="100" spans="6:7" x14ac:dyDescent="0.2">
      <c r="F100" s="53"/>
      <c r="G100" s="53"/>
    </row>
    <row r="101" spans="6:7" x14ac:dyDescent="0.2">
      <c r="F101" s="53"/>
      <c r="G101" s="53"/>
    </row>
    <row r="104" spans="6:7" x14ac:dyDescent="0.2">
      <c r="G104" s="53"/>
    </row>
  </sheetData>
  <sheetProtection algorithmName="SHA-512" hashValue="q4xwPsaRcniwMnf4PQqIPpWBYS98MhfbJZYfwdxc1tGUJAbfHiCUxG6zubAxdaYZnV6B+5Mu1QU9s4uKcGashQ==" saltValue="BuztsoN4VtJSZXgeqjf2Pg==" spinCount="100000" sheet="1" objects="1" scenarios="1"/>
  <mergeCells count="2">
    <mergeCell ref="B13:H14"/>
    <mergeCell ref="B29:H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2"/>
  <sheetViews>
    <sheetView showGridLines="0" zoomScale="60" zoomScaleNormal="60" workbookViewId="0">
      <selection activeCell="B9" sqref="B9"/>
    </sheetView>
  </sheetViews>
  <sheetFormatPr baseColWidth="10" defaultColWidth="10.7109375" defaultRowHeight="14.25" x14ac:dyDescent="0.2"/>
  <cols>
    <col min="1" max="1" width="13.42578125" style="102" customWidth="1"/>
    <col min="2" max="2" width="67.42578125" style="102" customWidth="1"/>
    <col min="3" max="3" width="29.85546875" style="102" customWidth="1"/>
    <col min="4" max="4" width="22.28515625" style="102" customWidth="1"/>
    <col min="5" max="5" width="22.42578125" style="102" customWidth="1"/>
    <col min="6" max="6" width="19.85546875" style="102" bestFit="1" customWidth="1"/>
    <col min="7" max="7" width="18.42578125" style="102" bestFit="1" customWidth="1"/>
    <col min="8" max="8" width="23" style="102" bestFit="1" customWidth="1"/>
    <col min="9" max="9" width="19.7109375" style="102" customWidth="1"/>
    <col min="10" max="10" width="17.42578125" style="102" bestFit="1" customWidth="1"/>
    <col min="11" max="11" width="18.28515625" style="102" bestFit="1" customWidth="1"/>
    <col min="12" max="12" width="19.140625" style="102" bestFit="1" customWidth="1"/>
    <col min="13" max="13" width="17.42578125" style="102" bestFit="1" customWidth="1"/>
    <col min="14" max="14" width="18.42578125" style="102" bestFit="1" customWidth="1"/>
    <col min="15" max="15" width="17.42578125" style="102" bestFit="1" customWidth="1"/>
    <col min="16" max="16" width="17.42578125" style="102" customWidth="1"/>
    <col min="17" max="17" width="18.42578125" style="102" bestFit="1" customWidth="1"/>
    <col min="18" max="19" width="17.42578125" style="102" bestFit="1" customWidth="1"/>
    <col min="20" max="20" width="18.42578125" style="102" bestFit="1" customWidth="1"/>
    <col min="21" max="22" width="17.42578125" style="102" bestFit="1" customWidth="1"/>
    <col min="23" max="23" width="18.42578125" style="102" bestFit="1" customWidth="1"/>
    <col min="24" max="24" width="19.140625" style="102" bestFit="1" customWidth="1"/>
    <col min="25" max="25" width="19"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B2" s="58" t="s">
        <v>98</v>
      </c>
    </row>
    <row r="3" spans="1:26" s="103" customFormat="1" ht="15" x14ac:dyDescent="0.25">
      <c r="A3" s="50"/>
    </row>
    <row r="4" spans="1:26" ht="21.75" customHeight="1" x14ac:dyDescent="0.25">
      <c r="A4" s="59"/>
      <c r="B4" s="171" t="str">
        <f>'PPP_V3_y Costos'!C13</f>
        <v xml:space="preserve">5. Fortalecimiento de la gestión ambiental en la cadena maicera.
</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380</v>
      </c>
      <c r="E7" s="66">
        <f t="shared" ref="E7:X7" si="0">SUM(E8:E8)</f>
        <v>674788448.37700009</v>
      </c>
      <c r="F7" s="66">
        <f t="shared" si="0"/>
        <v>2699153793.5080004</v>
      </c>
      <c r="G7" s="66">
        <f t="shared" si="0"/>
        <v>2699153793.5080004</v>
      </c>
      <c r="H7" s="66">
        <f t="shared" si="0"/>
        <v>2024365345.1310003</v>
      </c>
      <c r="I7" s="66">
        <f t="shared" si="0"/>
        <v>0</v>
      </c>
      <c r="J7" s="66">
        <f t="shared" si="0"/>
        <v>0</v>
      </c>
      <c r="K7" s="66">
        <f t="shared" si="0"/>
        <v>2699153793.5080004</v>
      </c>
      <c r="L7" s="66">
        <f t="shared" si="0"/>
        <v>0</v>
      </c>
      <c r="M7" s="66">
        <f t="shared" si="0"/>
        <v>0</v>
      </c>
      <c r="N7" s="66">
        <f t="shared" si="0"/>
        <v>2699153793.5080004</v>
      </c>
      <c r="O7" s="66">
        <f t="shared" si="0"/>
        <v>0</v>
      </c>
      <c r="P7" s="66">
        <f t="shared" si="0"/>
        <v>0</v>
      </c>
      <c r="Q7" s="66">
        <f t="shared" si="0"/>
        <v>2699153793.5080004</v>
      </c>
      <c r="R7" s="66">
        <f t="shared" si="0"/>
        <v>0</v>
      </c>
      <c r="S7" s="66">
        <f t="shared" si="0"/>
        <v>0</v>
      </c>
      <c r="T7" s="66">
        <f t="shared" si="0"/>
        <v>2699153793.5080004</v>
      </c>
      <c r="U7" s="66">
        <f t="shared" si="0"/>
        <v>0</v>
      </c>
      <c r="V7" s="66">
        <f t="shared" si="0"/>
        <v>0</v>
      </c>
      <c r="W7" s="66">
        <f t="shared" si="0"/>
        <v>2699153793.5080004</v>
      </c>
      <c r="X7" s="66">
        <f t="shared" si="0"/>
        <v>0</v>
      </c>
      <c r="Y7" s="66">
        <f>SUM(E7:X7)</f>
        <v>21593230348.063999</v>
      </c>
      <c r="Z7" s="67"/>
    </row>
    <row r="8" spans="1:26" s="71" customFormat="1" ht="45.75" customHeight="1" x14ac:dyDescent="0.2">
      <c r="A8" s="68"/>
      <c r="B8" s="69" t="str">
        <f>'PPP_V3_y Costos'!D13</f>
        <v>5.1. Mejora del desempeño ambiental de la cadena de maíz.</v>
      </c>
      <c r="C8" s="144" t="s">
        <v>235</v>
      </c>
      <c r="D8" s="71" t="s">
        <v>177</v>
      </c>
      <c r="E8" s="70">
        <f>+H38*3</f>
        <v>674788448.37700009</v>
      </c>
      <c r="F8" s="70">
        <f>+H37</f>
        <v>2699153793.5080004</v>
      </c>
      <c r="G8" s="70">
        <f>+H37</f>
        <v>2699153793.5080004</v>
      </c>
      <c r="H8" s="70">
        <f>+H38*9</f>
        <v>2024365345.1310003</v>
      </c>
      <c r="I8" s="70" t="str">
        <f>+H36</f>
        <v>Por definir</v>
      </c>
      <c r="J8" s="70" t="str">
        <f>+H36</f>
        <v>Por definir</v>
      </c>
      <c r="K8" s="70">
        <f>+H37</f>
        <v>2699153793.5080004</v>
      </c>
      <c r="L8" s="70" t="str">
        <f>+H36</f>
        <v>Por definir</v>
      </c>
      <c r="M8" s="70" t="str">
        <f>+H36</f>
        <v>Por definir</v>
      </c>
      <c r="N8" s="70">
        <f>+H37</f>
        <v>2699153793.5080004</v>
      </c>
      <c r="O8" s="70" t="str">
        <f>+H36</f>
        <v>Por definir</v>
      </c>
      <c r="P8" s="70" t="str">
        <f>+H36</f>
        <v>Por definir</v>
      </c>
      <c r="Q8" s="70">
        <f>+H37</f>
        <v>2699153793.5080004</v>
      </c>
      <c r="R8" s="70" t="str">
        <f>+H36</f>
        <v>Por definir</v>
      </c>
      <c r="S8" s="70" t="str">
        <f>+H36</f>
        <v>Por definir</v>
      </c>
      <c r="T8" s="70">
        <f>+H37</f>
        <v>2699153793.5080004</v>
      </c>
      <c r="U8" s="70" t="str">
        <f>+H36</f>
        <v>Por definir</v>
      </c>
      <c r="V8" s="70" t="str">
        <f>+H36</f>
        <v>Por definir</v>
      </c>
      <c r="W8" s="70">
        <f>+H37</f>
        <v>2699153793.5080004</v>
      </c>
      <c r="X8" s="70" t="str">
        <f>+H36</f>
        <v>Por definir</v>
      </c>
      <c r="Y8" s="70">
        <f>SUM(E8:X8)</f>
        <v>21593230348.063999</v>
      </c>
      <c r="Z8" s="67"/>
    </row>
    <row r="9" spans="1:26" s="175" customFormat="1" ht="24.75" customHeight="1" x14ac:dyDescent="0.25">
      <c r="A9" s="106"/>
      <c r="B9" s="172" t="s">
        <v>33</v>
      </c>
      <c r="C9" s="172"/>
      <c r="D9" s="172"/>
      <c r="E9" s="176"/>
      <c r="F9" s="176"/>
      <c r="G9" s="176"/>
      <c r="H9" s="176"/>
      <c r="I9" s="176"/>
      <c r="J9" s="176"/>
      <c r="K9" s="176"/>
      <c r="L9" s="176"/>
      <c r="M9" s="176"/>
      <c r="N9" s="176"/>
      <c r="O9" s="176"/>
      <c r="P9" s="176"/>
      <c r="Q9" s="176"/>
      <c r="R9" s="176"/>
      <c r="S9" s="176"/>
      <c r="T9" s="176"/>
      <c r="U9" s="176"/>
      <c r="V9" s="176"/>
      <c r="W9" s="176"/>
      <c r="X9" s="176"/>
      <c r="Y9" s="176"/>
      <c r="Z9" s="174"/>
    </row>
    <row r="10" spans="1:26" s="76" customFormat="1" ht="24.75" customHeight="1" x14ac:dyDescent="0.25">
      <c r="A10" s="103"/>
      <c r="B10" s="73"/>
      <c r="C10" s="73"/>
      <c r="D10" s="73"/>
      <c r="E10" s="73"/>
      <c r="F10" s="74"/>
      <c r="G10" s="75"/>
      <c r="H10" s="74"/>
      <c r="I10" s="74"/>
      <c r="J10" s="74"/>
      <c r="K10" s="74"/>
      <c r="L10" s="74"/>
      <c r="M10" s="74"/>
      <c r="N10" s="74"/>
      <c r="O10" s="74"/>
      <c r="P10" s="74"/>
      <c r="Q10" s="74"/>
      <c r="R10" s="74"/>
      <c r="S10" s="74"/>
      <c r="T10" s="74"/>
      <c r="U10" s="74"/>
      <c r="V10" s="74"/>
      <c r="W10" s="74"/>
      <c r="X10" s="74"/>
      <c r="Y10" s="74"/>
      <c r="Z10" s="74"/>
    </row>
    <row r="12" spans="1:26" s="103" customFormat="1" ht="14.45" customHeight="1" x14ac:dyDescent="0.25">
      <c r="B12" s="717" t="str">
        <f>B8</f>
        <v>5.1. Mejora del desempeño ambiental de la cadena de maíz.</v>
      </c>
      <c r="C12" s="718"/>
      <c r="D12" s="718"/>
      <c r="E12" s="718"/>
      <c r="F12" s="718"/>
      <c r="G12" s="718"/>
      <c r="H12" s="718"/>
      <c r="I12" s="340"/>
      <c r="X12" s="78"/>
    </row>
    <row r="13" spans="1:26" s="103" customFormat="1" ht="14.45" customHeight="1" x14ac:dyDescent="0.25">
      <c r="B13" s="719"/>
      <c r="C13" s="719"/>
      <c r="D13" s="719"/>
      <c r="E13" s="719"/>
      <c r="F13" s="719"/>
      <c r="G13" s="719"/>
      <c r="H13" s="719"/>
      <c r="I13" s="340"/>
      <c r="X13" s="78"/>
    </row>
    <row r="14" spans="1:26" ht="15" x14ac:dyDescent="0.25">
      <c r="B14" s="79" t="s">
        <v>79</v>
      </c>
      <c r="C14" s="79" t="s">
        <v>59</v>
      </c>
      <c r="D14" s="79" t="s">
        <v>56</v>
      </c>
      <c r="E14" s="79" t="s">
        <v>55</v>
      </c>
      <c r="F14" s="80" t="s">
        <v>108</v>
      </c>
      <c r="G14" s="79" t="s">
        <v>81</v>
      </c>
      <c r="H14" s="79" t="s">
        <v>82</v>
      </c>
      <c r="X14" s="81"/>
    </row>
    <row r="15" spans="1:26" x14ac:dyDescent="0.2">
      <c r="B15" s="180" t="s">
        <v>83</v>
      </c>
      <c r="C15" s="104">
        <v>4</v>
      </c>
      <c r="D15" s="104" t="s">
        <v>84</v>
      </c>
      <c r="E15" s="45">
        <v>500000</v>
      </c>
      <c r="F15" s="104"/>
      <c r="G15" s="104"/>
      <c r="H15" s="82">
        <f t="shared" ref="H15:H27" si="1">+C15*E15</f>
        <v>2000000</v>
      </c>
      <c r="J15" s="53"/>
    </row>
    <row r="16" spans="1:26" x14ac:dyDescent="0.2">
      <c r="B16" s="181" t="s">
        <v>85</v>
      </c>
      <c r="C16" s="49">
        <v>19</v>
      </c>
      <c r="D16" s="49" t="s">
        <v>84</v>
      </c>
      <c r="E16" s="196">
        <v>100000</v>
      </c>
      <c r="F16" s="49"/>
      <c r="G16" s="49"/>
      <c r="H16" s="151">
        <f t="shared" si="1"/>
        <v>1900000</v>
      </c>
      <c r="J16" s="53"/>
    </row>
    <row r="17" spans="2:10" x14ac:dyDescent="0.2">
      <c r="B17" s="181" t="s">
        <v>294</v>
      </c>
      <c r="C17" s="49">
        <v>4</v>
      </c>
      <c r="D17" s="49" t="s">
        <v>84</v>
      </c>
      <c r="E17" s="196">
        <v>2300000</v>
      </c>
      <c r="F17" s="49"/>
      <c r="G17" s="49"/>
      <c r="H17" s="151">
        <f t="shared" si="1"/>
        <v>9200000</v>
      </c>
      <c r="J17" s="53"/>
    </row>
    <row r="18" spans="2:10" x14ac:dyDescent="0.2">
      <c r="B18" s="181" t="s">
        <v>290</v>
      </c>
      <c r="C18" s="49">
        <v>7</v>
      </c>
      <c r="D18" s="49" t="s">
        <v>84</v>
      </c>
      <c r="E18" s="196">
        <v>2300000</v>
      </c>
      <c r="F18" s="49"/>
      <c r="G18" s="49"/>
      <c r="H18" s="151">
        <f t="shared" si="1"/>
        <v>16100000</v>
      </c>
      <c r="J18" s="53"/>
    </row>
    <row r="19" spans="2:10" x14ac:dyDescent="0.2">
      <c r="B19" s="181" t="s">
        <v>302</v>
      </c>
      <c r="C19" s="49">
        <v>19</v>
      </c>
      <c r="D19" s="49" t="s">
        <v>84</v>
      </c>
      <c r="E19" s="150">
        <v>460000</v>
      </c>
      <c r="F19" s="49"/>
      <c r="G19" s="49"/>
      <c r="H19" s="151">
        <f t="shared" si="1"/>
        <v>8740000</v>
      </c>
      <c r="J19" s="53"/>
    </row>
    <row r="20" spans="2:10" x14ac:dyDescent="0.2">
      <c r="B20" s="181" t="s">
        <v>87</v>
      </c>
      <c r="C20" s="49">
        <v>7</v>
      </c>
      <c r="D20" s="49" t="s">
        <v>297</v>
      </c>
      <c r="E20" s="150">
        <v>6000000</v>
      </c>
      <c r="F20" s="49"/>
      <c r="G20" s="49"/>
      <c r="H20" s="151">
        <f t="shared" si="1"/>
        <v>42000000</v>
      </c>
      <c r="J20" s="53"/>
    </row>
    <row r="21" spans="2:10" x14ac:dyDescent="0.2">
      <c r="B21" s="181" t="s">
        <v>88</v>
      </c>
      <c r="C21" s="49">
        <v>19</v>
      </c>
      <c r="D21" s="49" t="s">
        <v>84</v>
      </c>
      <c r="E21" s="150">
        <v>1800000</v>
      </c>
      <c r="F21" s="49"/>
      <c r="G21" s="49"/>
      <c r="H21" s="151">
        <f t="shared" si="1"/>
        <v>34200000</v>
      </c>
      <c r="J21" s="53"/>
    </row>
    <row r="22" spans="2:10" x14ac:dyDescent="0.2">
      <c r="B22" s="181" t="s">
        <v>178</v>
      </c>
      <c r="C22" s="49">
        <v>7</v>
      </c>
      <c r="D22" s="49" t="s">
        <v>298</v>
      </c>
      <c r="E22" s="150">
        <v>1500000</v>
      </c>
      <c r="F22" s="97"/>
      <c r="G22" s="49"/>
      <c r="H22" s="151">
        <f t="shared" si="1"/>
        <v>10500000</v>
      </c>
      <c r="J22" s="53"/>
    </row>
    <row r="23" spans="2:10" x14ac:dyDescent="0.2">
      <c r="B23" s="181" t="s">
        <v>190</v>
      </c>
      <c r="C23" s="49">
        <v>19</v>
      </c>
      <c r="D23" s="49" t="s">
        <v>84</v>
      </c>
      <c r="E23" s="150">
        <v>450000</v>
      </c>
      <c r="F23" s="49"/>
      <c r="G23" s="49"/>
      <c r="H23" s="151">
        <f t="shared" si="1"/>
        <v>8550000</v>
      </c>
      <c r="J23" s="53"/>
    </row>
    <row r="24" spans="2:10" x14ac:dyDescent="0.2">
      <c r="B24" s="181" t="s">
        <v>303</v>
      </c>
      <c r="C24" s="49">
        <v>19</v>
      </c>
      <c r="D24" s="49" t="s">
        <v>304</v>
      </c>
      <c r="E24" s="196">
        <v>3270000</v>
      </c>
      <c r="F24" s="49"/>
      <c r="G24" s="49"/>
      <c r="H24" s="151">
        <f t="shared" si="1"/>
        <v>62130000</v>
      </c>
      <c r="I24" s="84"/>
      <c r="J24" s="138"/>
    </row>
    <row r="25" spans="2:10" x14ac:dyDescent="0.2">
      <c r="B25" s="181" t="s">
        <v>305</v>
      </c>
      <c r="C25" s="49">
        <v>19</v>
      </c>
      <c r="D25" s="49" t="s">
        <v>84</v>
      </c>
      <c r="E25" s="196">
        <v>5170000</v>
      </c>
      <c r="F25" s="49"/>
      <c r="G25" s="49"/>
      <c r="H25" s="151">
        <f t="shared" si="1"/>
        <v>98230000</v>
      </c>
      <c r="I25" s="84"/>
      <c r="J25" s="138"/>
    </row>
    <row r="26" spans="2:10" x14ac:dyDescent="0.2">
      <c r="B26" s="181" t="s">
        <v>306</v>
      </c>
      <c r="C26" s="49">
        <v>7</v>
      </c>
      <c r="D26" s="49" t="s">
        <v>298</v>
      </c>
      <c r="E26" s="196">
        <v>3000000</v>
      </c>
      <c r="F26" s="49"/>
      <c r="G26" s="49"/>
      <c r="H26" s="151">
        <f t="shared" si="1"/>
        <v>21000000</v>
      </c>
      <c r="I26" s="84"/>
      <c r="J26" s="138"/>
    </row>
    <row r="27" spans="2:10" x14ac:dyDescent="0.2">
      <c r="B27" s="181" t="s">
        <v>307</v>
      </c>
      <c r="C27" s="49">
        <v>19</v>
      </c>
      <c r="D27" s="49" t="s">
        <v>84</v>
      </c>
      <c r="E27" s="196">
        <v>900000</v>
      </c>
      <c r="F27" s="49"/>
      <c r="G27" s="49"/>
      <c r="H27" s="151">
        <f t="shared" si="1"/>
        <v>17100000</v>
      </c>
      <c r="I27" s="84"/>
      <c r="J27" s="138"/>
    </row>
    <row r="28" spans="2:10" x14ac:dyDescent="0.2">
      <c r="B28" s="181" t="s">
        <v>230</v>
      </c>
      <c r="C28" s="49">
        <v>2</v>
      </c>
      <c r="D28" s="49" t="s">
        <v>308</v>
      </c>
      <c r="E28" s="196">
        <v>7233751</v>
      </c>
      <c r="F28" s="97">
        <v>1</v>
      </c>
      <c r="G28" s="49">
        <v>12</v>
      </c>
      <c r="H28" s="151">
        <f>+C28*E28*F28*G28</f>
        <v>173610024</v>
      </c>
      <c r="I28" s="101"/>
      <c r="J28" s="138"/>
    </row>
    <row r="29" spans="2:10" x14ac:dyDescent="0.2">
      <c r="B29" s="181" t="s">
        <v>91</v>
      </c>
      <c r="C29" s="49">
        <v>2</v>
      </c>
      <c r="D29" s="49" t="s">
        <v>84</v>
      </c>
      <c r="E29" s="196">
        <v>2682805</v>
      </c>
      <c r="F29" s="49"/>
      <c r="G29" s="49">
        <v>3</v>
      </c>
      <c r="H29" s="151">
        <f>+C29*E29*G29</f>
        <v>16096830</v>
      </c>
      <c r="I29" s="101"/>
      <c r="J29" s="138"/>
    </row>
    <row r="30" spans="2:10" x14ac:dyDescent="0.2">
      <c r="B30" s="181" t="s">
        <v>249</v>
      </c>
      <c r="C30" s="49">
        <v>19</v>
      </c>
      <c r="D30" s="49" t="s">
        <v>84</v>
      </c>
      <c r="E30" s="196">
        <v>6604729</v>
      </c>
      <c r="F30" s="97">
        <v>1</v>
      </c>
      <c r="G30" s="49">
        <v>12</v>
      </c>
      <c r="H30" s="151">
        <f>+C30*E30*F30*G30</f>
        <v>1505878212</v>
      </c>
      <c r="I30" s="101"/>
      <c r="J30" s="138"/>
    </row>
    <row r="31" spans="2:10" x14ac:dyDescent="0.2">
      <c r="B31" s="181" t="s">
        <v>57</v>
      </c>
      <c r="C31" s="49">
        <f>+C30</f>
        <v>19</v>
      </c>
      <c r="D31" s="49" t="s">
        <v>185</v>
      </c>
      <c r="E31" s="196">
        <v>1300000</v>
      </c>
      <c r="F31" s="49"/>
      <c r="G31" s="49"/>
      <c r="H31" s="151">
        <f>+C31*E31</f>
        <v>24700000</v>
      </c>
      <c r="I31" s="101"/>
      <c r="J31" s="138"/>
    </row>
    <row r="32" spans="2:10" x14ac:dyDescent="0.2">
      <c r="B32" s="181" t="s">
        <v>194</v>
      </c>
      <c r="C32" s="49">
        <f>+C30</f>
        <v>19</v>
      </c>
      <c r="D32" s="49" t="s">
        <v>185</v>
      </c>
      <c r="E32" s="150">
        <v>155000</v>
      </c>
      <c r="F32" s="98"/>
      <c r="G32" s="104">
        <v>12</v>
      </c>
      <c r="H32" s="82">
        <f>+C32*E32*G32</f>
        <v>35340000</v>
      </c>
      <c r="I32" s="101"/>
      <c r="J32" s="138"/>
    </row>
    <row r="33" spans="2:10" x14ac:dyDescent="0.2">
      <c r="B33" s="181" t="s">
        <v>309</v>
      </c>
      <c r="C33" s="49">
        <v>7</v>
      </c>
      <c r="D33" s="49" t="s">
        <v>84</v>
      </c>
      <c r="E33" s="196">
        <v>10745859.024</v>
      </c>
      <c r="F33" s="49"/>
      <c r="G33" s="49"/>
      <c r="H33" s="151">
        <f>+C33*E33</f>
        <v>75221013.167999998</v>
      </c>
      <c r="I33" s="44"/>
      <c r="J33" s="53"/>
    </row>
    <row r="34" spans="2:10" x14ac:dyDescent="0.2">
      <c r="B34" s="181" t="s">
        <v>310</v>
      </c>
      <c r="C34" s="49">
        <v>7</v>
      </c>
      <c r="D34" s="49" t="s">
        <v>84</v>
      </c>
      <c r="E34" s="196">
        <v>38953149.899999999</v>
      </c>
      <c r="F34" s="49"/>
      <c r="G34" s="49"/>
      <c r="H34" s="151">
        <f>+C34*E34</f>
        <v>272672049.30000001</v>
      </c>
      <c r="I34" s="44"/>
      <c r="J34" s="53"/>
    </row>
    <row r="35" spans="2:10" x14ac:dyDescent="0.2">
      <c r="B35" s="181" t="s">
        <v>311</v>
      </c>
      <c r="C35" s="49">
        <v>4</v>
      </c>
      <c r="D35" s="49" t="s">
        <v>84</v>
      </c>
      <c r="E35" s="196">
        <v>65996416.260000005</v>
      </c>
      <c r="F35" s="49"/>
      <c r="G35" s="49"/>
      <c r="H35" s="151">
        <f>+C35*E35</f>
        <v>263985665.04000002</v>
      </c>
      <c r="I35" s="44"/>
      <c r="J35" s="53"/>
    </row>
    <row r="36" spans="2:10" x14ac:dyDescent="0.2">
      <c r="B36" s="181" t="s">
        <v>203</v>
      </c>
      <c r="C36" s="49"/>
      <c r="D36" s="49"/>
      <c r="E36" s="196"/>
      <c r="F36" s="49"/>
      <c r="G36" s="49"/>
      <c r="H36" s="151" t="s">
        <v>78</v>
      </c>
      <c r="I36" s="44"/>
      <c r="J36" s="53"/>
    </row>
    <row r="37" spans="2:10" ht="15" x14ac:dyDescent="0.25">
      <c r="B37" s="86" t="s">
        <v>33</v>
      </c>
      <c r="C37" s="87"/>
      <c r="D37" s="87"/>
      <c r="E37" s="87"/>
      <c r="F37" s="88"/>
      <c r="G37" s="88"/>
      <c r="H37" s="115">
        <f>SUM(H15:H36)</f>
        <v>2699153793.5080004</v>
      </c>
      <c r="I37" s="84"/>
      <c r="J37" s="103"/>
    </row>
    <row r="38" spans="2:10" ht="15" x14ac:dyDescent="0.25">
      <c r="B38" s="86" t="s">
        <v>292</v>
      </c>
      <c r="C38" s="87"/>
      <c r="D38" s="87"/>
      <c r="E38" s="87"/>
      <c r="F38" s="88"/>
      <c r="G38" s="88"/>
      <c r="H38" s="115">
        <f>+H37/12</f>
        <v>224929482.79233336</v>
      </c>
      <c r="I38" s="84"/>
      <c r="J38" s="103"/>
    </row>
    <row r="39" spans="2:10" s="103" customFormat="1" ht="266.25" customHeight="1" x14ac:dyDescent="0.2">
      <c r="B39" s="197" t="s">
        <v>382</v>
      </c>
      <c r="C39" s="90"/>
      <c r="D39" s="90"/>
      <c r="E39" s="90"/>
      <c r="F39" s="90"/>
      <c r="G39" s="90"/>
      <c r="H39" s="90"/>
    </row>
    <row r="40" spans="2:10" ht="15" x14ac:dyDescent="0.25">
      <c r="B40" s="339"/>
      <c r="C40" s="339"/>
      <c r="D40" s="339"/>
      <c r="E40" s="339"/>
      <c r="F40" s="339"/>
      <c r="G40" s="339"/>
      <c r="H40" s="339"/>
      <c r="I40" s="91"/>
    </row>
    <row r="41" spans="2:10" ht="15" x14ac:dyDescent="0.25">
      <c r="B41" s="339"/>
      <c r="C41" s="339"/>
      <c r="D41" s="339"/>
      <c r="E41" s="339"/>
      <c r="F41" s="339"/>
      <c r="G41" s="339"/>
      <c r="H41" s="339"/>
      <c r="I41" s="91"/>
    </row>
    <row r="42" spans="2:10" x14ac:dyDescent="0.2">
      <c r="B42" s="103"/>
      <c r="C42" s="103"/>
      <c r="D42" s="103"/>
      <c r="E42" s="103"/>
      <c r="F42" s="103"/>
      <c r="G42" s="103"/>
    </row>
  </sheetData>
  <sheetProtection algorithmName="SHA-512" hashValue="0GLigh1KimaHgAtsG2KmveNNgm/G5kL+WG/zw5m5kSQYjsdYJgw0TDAKykaTG/81F1W6U1vgwjb6n13c/W5+8Q==" saltValue="BTt3mQFxWTGlJ/tR+8ztsw==" spinCount="100000" sheet="1" objects="1" scenarios="1"/>
  <mergeCells count="1">
    <mergeCell ref="B12:H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36"/>
  <sheetViews>
    <sheetView showGridLines="0" zoomScale="60" zoomScaleNormal="60" workbookViewId="0">
      <selection activeCell="B13" sqref="B13"/>
    </sheetView>
  </sheetViews>
  <sheetFormatPr baseColWidth="10" defaultColWidth="10.7109375" defaultRowHeight="14.25" x14ac:dyDescent="0.2"/>
  <cols>
    <col min="1" max="1" width="13.42578125" style="102" customWidth="1"/>
    <col min="2" max="2" width="71.42578125" style="102" customWidth="1"/>
    <col min="3" max="3" width="26.42578125" style="102" customWidth="1"/>
    <col min="4" max="4" width="28.140625" style="102" customWidth="1"/>
    <col min="5" max="5" width="22.42578125" style="102" customWidth="1"/>
    <col min="6" max="7" width="19.7109375" style="102" bestFit="1" customWidth="1"/>
    <col min="8" max="8" width="24.140625" style="102" bestFit="1" customWidth="1"/>
    <col min="9" max="9" width="22.85546875" style="102" customWidth="1"/>
    <col min="10" max="10" width="19.7109375" style="102" bestFit="1" customWidth="1"/>
    <col min="11" max="11" width="20.42578125" style="102" bestFit="1" customWidth="1"/>
    <col min="12" max="12" width="20.140625" style="102" bestFit="1" customWidth="1"/>
    <col min="13" max="22" width="19.7109375" style="102" bestFit="1" customWidth="1"/>
    <col min="23" max="24" width="20.42578125" style="102" bestFit="1" customWidth="1"/>
    <col min="25" max="25" width="21.4257812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str">
        <f>'PPP_V3_y Costos'!C14</f>
        <v xml:space="preserve">6. Contribución al mejoramiento en las condiciones de vida de la población vinculada a la cadena de maíz. </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SUM(E8:E12)</f>
        <v>1959455896.0999999</v>
      </c>
      <c r="F7" s="66">
        <f t="shared" ref="F7:X7" si="0">SUM(F8:F12)</f>
        <v>12710343817.51111</v>
      </c>
      <c r="G7" s="66">
        <f t="shared" si="0"/>
        <v>12514667742.844444</v>
      </c>
      <c r="H7" s="66">
        <f t="shared" si="0"/>
        <v>11731957546.657778</v>
      </c>
      <c r="I7" s="66">
        <f t="shared" si="0"/>
        <v>11559058167.082312</v>
      </c>
      <c r="J7" s="66">
        <f t="shared" si="0"/>
        <v>11396532750.281372</v>
      </c>
      <c r="K7" s="66">
        <f t="shared" si="0"/>
        <v>11842533544.488489</v>
      </c>
      <c r="L7" s="66">
        <f t="shared" si="0"/>
        <v>11100151400.20318</v>
      </c>
      <c r="M7" s="66">
        <f t="shared" si="0"/>
        <v>10965160389.414989</v>
      </c>
      <c r="N7" s="66">
        <f t="shared" si="0"/>
        <v>10838268839.27409</v>
      </c>
      <c r="O7" s="66">
        <f t="shared" si="0"/>
        <v>11317765468.141645</v>
      </c>
      <c r="P7" s="66">
        <f t="shared" si="0"/>
        <v>10606869408.437147</v>
      </c>
      <c r="Q7" s="66">
        <f t="shared" si="0"/>
        <v>10501475317.154917</v>
      </c>
      <c r="R7" s="66">
        <f t="shared" si="0"/>
        <v>10402404871.349623</v>
      </c>
      <c r="S7" s="66">
        <f t="shared" si="0"/>
        <v>10908053338.292645</v>
      </c>
      <c r="T7" s="66">
        <f t="shared" si="0"/>
        <v>10221740006.379086</v>
      </c>
      <c r="U7" s="66">
        <f t="shared" si="0"/>
        <v>10139453679.220341</v>
      </c>
      <c r="V7" s="66">
        <f t="shared" si="0"/>
        <v>10062104531.69112</v>
      </c>
      <c r="W7" s="66">
        <f t="shared" si="0"/>
        <v>10588171019.013653</v>
      </c>
      <c r="X7" s="66">
        <f t="shared" si="0"/>
        <v>7454295919.8568344</v>
      </c>
      <c r="Y7" s="66">
        <f>SUM(Y8:Y12)</f>
        <v>208820463653.39481</v>
      </c>
      <c r="Z7" s="67"/>
    </row>
    <row r="8" spans="1:26" s="71" customFormat="1" ht="60" customHeight="1" x14ac:dyDescent="0.2">
      <c r="A8" s="68"/>
      <c r="B8" s="69" t="str">
        <f>'PPP_V3_y Costos'!D14</f>
        <v>6.1  Promoción de la atención de las necesidades básicas de los actores vinculados a la cadena.</v>
      </c>
      <c r="C8" s="114" t="s">
        <v>388</v>
      </c>
      <c r="D8" s="114" t="s">
        <v>201</v>
      </c>
      <c r="E8" s="70">
        <f>I40*3</f>
        <v>839055476</v>
      </c>
      <c r="F8" s="70">
        <f>H40</f>
        <v>3356221904</v>
      </c>
      <c r="G8" s="70">
        <f t="shared" ref="G8:X8" si="1">F8</f>
        <v>3356221904</v>
      </c>
      <c r="H8" s="70">
        <f t="shared" si="1"/>
        <v>3356221904</v>
      </c>
      <c r="I8" s="70">
        <f t="shared" si="1"/>
        <v>3356221904</v>
      </c>
      <c r="J8" s="70">
        <f t="shared" si="1"/>
        <v>3356221904</v>
      </c>
      <c r="K8" s="70">
        <f t="shared" si="1"/>
        <v>3356221904</v>
      </c>
      <c r="L8" s="70">
        <f t="shared" si="1"/>
        <v>3356221904</v>
      </c>
      <c r="M8" s="70">
        <f t="shared" si="1"/>
        <v>3356221904</v>
      </c>
      <c r="N8" s="70">
        <f t="shared" si="1"/>
        <v>3356221904</v>
      </c>
      <c r="O8" s="70">
        <f t="shared" si="1"/>
        <v>3356221904</v>
      </c>
      <c r="P8" s="70">
        <f t="shared" si="1"/>
        <v>3356221904</v>
      </c>
      <c r="Q8" s="70">
        <f t="shared" si="1"/>
        <v>3356221904</v>
      </c>
      <c r="R8" s="70">
        <f t="shared" si="1"/>
        <v>3356221904</v>
      </c>
      <c r="S8" s="70">
        <f t="shared" si="1"/>
        <v>3356221904</v>
      </c>
      <c r="T8" s="70">
        <f t="shared" si="1"/>
        <v>3356221904</v>
      </c>
      <c r="U8" s="70">
        <f t="shared" si="1"/>
        <v>3356221904</v>
      </c>
      <c r="V8" s="70">
        <f t="shared" si="1"/>
        <v>3356221904</v>
      </c>
      <c r="W8" s="70">
        <f t="shared" si="1"/>
        <v>3356221904</v>
      </c>
      <c r="X8" s="70">
        <f t="shared" si="1"/>
        <v>3356221904</v>
      </c>
      <c r="Y8" s="70">
        <f>SUM(E8:X8)</f>
        <v>64607271652</v>
      </c>
      <c r="Z8" s="67"/>
    </row>
    <row r="9" spans="1:26" s="71" customFormat="1" ht="42.95" customHeight="1" x14ac:dyDescent="0.2">
      <c r="A9" s="68"/>
      <c r="B9" s="69" t="str">
        <f>'PPP_V3_y Costos'!D15</f>
        <v>6.2. Contribución al incremento del nivel educativo de los actores vinculados a la cadena.</v>
      </c>
      <c r="C9" s="114" t="s">
        <v>388</v>
      </c>
      <c r="D9" s="114" t="s">
        <v>201</v>
      </c>
      <c r="E9" s="70">
        <f>I60*3</f>
        <v>177009036</v>
      </c>
      <c r="F9" s="70">
        <f>H60</f>
        <v>708036144</v>
      </c>
      <c r="G9" s="70">
        <f t="shared" ref="G9:X9" si="2">F9</f>
        <v>708036144</v>
      </c>
      <c r="H9" s="70">
        <f t="shared" si="2"/>
        <v>708036144</v>
      </c>
      <c r="I9" s="70">
        <f t="shared" si="2"/>
        <v>708036144</v>
      </c>
      <c r="J9" s="70">
        <f t="shared" si="2"/>
        <v>708036144</v>
      </c>
      <c r="K9" s="70">
        <f t="shared" si="2"/>
        <v>708036144</v>
      </c>
      <c r="L9" s="70">
        <f t="shared" si="2"/>
        <v>708036144</v>
      </c>
      <c r="M9" s="70">
        <f t="shared" si="2"/>
        <v>708036144</v>
      </c>
      <c r="N9" s="70">
        <f t="shared" si="2"/>
        <v>708036144</v>
      </c>
      <c r="O9" s="70">
        <f t="shared" si="2"/>
        <v>708036144</v>
      </c>
      <c r="P9" s="70">
        <f t="shared" si="2"/>
        <v>708036144</v>
      </c>
      <c r="Q9" s="70">
        <f t="shared" si="2"/>
        <v>708036144</v>
      </c>
      <c r="R9" s="70">
        <f t="shared" si="2"/>
        <v>708036144</v>
      </c>
      <c r="S9" s="70">
        <f t="shared" si="2"/>
        <v>708036144</v>
      </c>
      <c r="T9" s="70">
        <f t="shared" si="2"/>
        <v>708036144</v>
      </c>
      <c r="U9" s="70">
        <f t="shared" si="2"/>
        <v>708036144</v>
      </c>
      <c r="V9" s="70">
        <f t="shared" si="2"/>
        <v>708036144</v>
      </c>
      <c r="W9" s="70">
        <f t="shared" si="2"/>
        <v>708036144</v>
      </c>
      <c r="X9" s="70">
        <f t="shared" si="2"/>
        <v>708036144</v>
      </c>
      <c r="Y9" s="70">
        <f t="shared" ref="Y9:Y12" si="3">SUM(E9:X9)</f>
        <v>13629695772</v>
      </c>
      <c r="Z9" s="67"/>
    </row>
    <row r="10" spans="1:26" s="71" customFormat="1" ht="42.95" customHeight="1" x14ac:dyDescent="0.2">
      <c r="A10" s="68"/>
      <c r="B10" s="69" t="str">
        <f>'PPP_V3_y Costos'!D16</f>
        <v>6.3. Mejora en las capacidades técnicas de los agentes económicos de la cadena</v>
      </c>
      <c r="C10" s="114" t="s">
        <v>388</v>
      </c>
      <c r="D10" s="114" t="s">
        <v>201</v>
      </c>
      <c r="E10" s="70">
        <f>I60*3</f>
        <v>177009036</v>
      </c>
      <c r="F10" s="70">
        <f>I91</f>
        <v>5580556377.1111107</v>
      </c>
      <c r="G10" s="70">
        <f t="shared" ref="G10:X10" si="4">J91</f>
        <v>5384880302.4444447</v>
      </c>
      <c r="H10" s="70">
        <f t="shared" si="4"/>
        <v>5200944792.2577782</v>
      </c>
      <c r="I10" s="70">
        <f t="shared" si="4"/>
        <v>5028045412.6823111</v>
      </c>
      <c r="J10" s="70">
        <f t="shared" si="4"/>
        <v>4865519995.8813725</v>
      </c>
      <c r="K10" s="70">
        <f t="shared" si="4"/>
        <v>4712746104.0884895</v>
      </c>
      <c r="L10" s="70">
        <f t="shared" si="4"/>
        <v>4569138645.8031807</v>
      </c>
      <c r="M10" s="70">
        <f t="shared" si="4"/>
        <v>4434147635.0149899</v>
      </c>
      <c r="N10" s="70">
        <f t="shared" si="4"/>
        <v>4307256084.8740902</v>
      </c>
      <c r="O10" s="70">
        <f t="shared" si="4"/>
        <v>4187978027.7416449</v>
      </c>
      <c r="P10" s="70">
        <f t="shared" si="4"/>
        <v>4075856654.0371466</v>
      </c>
      <c r="Q10" s="70">
        <f t="shared" si="4"/>
        <v>3970462562.7549176</v>
      </c>
      <c r="R10" s="70">
        <f t="shared" si="4"/>
        <v>3871392116.9496226</v>
      </c>
      <c r="S10" s="70">
        <f t="shared" si="4"/>
        <v>3778265897.8926454</v>
      </c>
      <c r="T10" s="70">
        <f t="shared" si="4"/>
        <v>3690727251.9790864</v>
      </c>
      <c r="U10" s="70">
        <f t="shared" si="4"/>
        <v>3608440924.8203416</v>
      </c>
      <c r="V10" s="70">
        <f t="shared" si="4"/>
        <v>3531091777.291121</v>
      </c>
      <c r="W10" s="70">
        <f t="shared" si="4"/>
        <v>3458383578.6136537</v>
      </c>
      <c r="X10" s="70">
        <f t="shared" si="4"/>
        <v>3390037871.8568344</v>
      </c>
      <c r="Y10" s="70">
        <f t="shared" si="3"/>
        <v>81822881050.094788</v>
      </c>
      <c r="Z10" s="67"/>
    </row>
    <row r="11" spans="1:26" s="71" customFormat="1" ht="42.95" customHeight="1" x14ac:dyDescent="0.2">
      <c r="A11" s="68"/>
      <c r="B11" s="69" t="str">
        <f>'PPP_V3_y Costos'!D17</f>
        <v>6.4. Promoción de la generación del empleo formal y la mejora de las condiciones laborales a lo largo de la cadena.</v>
      </c>
      <c r="C11" s="114" t="s">
        <v>388</v>
      </c>
      <c r="D11" s="114" t="s">
        <v>207</v>
      </c>
      <c r="E11" s="70">
        <f>I115*3</f>
        <v>616688676.60000002</v>
      </c>
      <c r="F11" s="70">
        <f>H115</f>
        <v>2466754706.4000001</v>
      </c>
      <c r="G11" s="70">
        <f>H115</f>
        <v>2466754706.4000001</v>
      </c>
      <c r="H11" s="70">
        <f t="shared" ref="H11:W11" si="5">G11</f>
        <v>2466754706.4000001</v>
      </c>
      <c r="I11" s="70">
        <f t="shared" si="5"/>
        <v>2466754706.4000001</v>
      </c>
      <c r="J11" s="70">
        <f t="shared" si="5"/>
        <v>2466754706.4000001</v>
      </c>
      <c r="K11" s="70">
        <f t="shared" si="5"/>
        <v>2466754706.4000001</v>
      </c>
      <c r="L11" s="70">
        <f t="shared" si="5"/>
        <v>2466754706.4000001</v>
      </c>
      <c r="M11" s="70">
        <f t="shared" si="5"/>
        <v>2466754706.4000001</v>
      </c>
      <c r="N11" s="70">
        <f t="shared" si="5"/>
        <v>2466754706.4000001</v>
      </c>
      <c r="O11" s="70">
        <f t="shared" si="5"/>
        <v>2466754706.4000001</v>
      </c>
      <c r="P11" s="70">
        <f t="shared" si="5"/>
        <v>2466754706.4000001</v>
      </c>
      <c r="Q11" s="70">
        <f t="shared" si="5"/>
        <v>2466754706.4000001</v>
      </c>
      <c r="R11" s="70">
        <f t="shared" si="5"/>
        <v>2466754706.4000001</v>
      </c>
      <c r="S11" s="70">
        <f t="shared" si="5"/>
        <v>2466754706.4000001</v>
      </c>
      <c r="T11" s="70">
        <f t="shared" si="5"/>
        <v>2466754706.4000001</v>
      </c>
      <c r="U11" s="70">
        <f t="shared" si="5"/>
        <v>2466754706.4000001</v>
      </c>
      <c r="V11" s="70">
        <f t="shared" si="5"/>
        <v>2466754706.4000001</v>
      </c>
      <c r="W11" s="70">
        <f t="shared" si="5"/>
        <v>2466754706.4000001</v>
      </c>
      <c r="X11" s="70"/>
      <c r="Y11" s="70">
        <f t="shared" si="3"/>
        <v>45018273391.800011</v>
      </c>
      <c r="Z11" s="67"/>
    </row>
    <row r="12" spans="1:26" s="71" customFormat="1" ht="42.95" customHeight="1" x14ac:dyDescent="0.2">
      <c r="A12" s="68"/>
      <c r="B12" s="69" t="str">
        <f>'PPP_V3_y Costos'!D18</f>
        <v>6.5. Contribución a la mejora de condiciones de conectividad vial y de servicios públicos, en las regiones maiceras.</v>
      </c>
      <c r="C12" s="114" t="s">
        <v>388</v>
      </c>
      <c r="D12" s="114" t="s">
        <v>207</v>
      </c>
      <c r="E12" s="70">
        <f>I134*3</f>
        <v>149693671.5</v>
      </c>
      <c r="F12" s="70">
        <f>H134</f>
        <v>598774686</v>
      </c>
      <c r="G12" s="70">
        <f>F12</f>
        <v>598774686</v>
      </c>
      <c r="H12" s="70"/>
      <c r="I12" s="70"/>
      <c r="J12" s="70"/>
      <c r="K12" s="70">
        <f>G12</f>
        <v>598774686</v>
      </c>
      <c r="L12" s="70"/>
      <c r="M12" s="70"/>
      <c r="N12" s="70"/>
      <c r="O12" s="70">
        <f>K12</f>
        <v>598774686</v>
      </c>
      <c r="P12" s="70"/>
      <c r="Q12" s="70"/>
      <c r="R12" s="70"/>
      <c r="S12" s="70">
        <f>O12</f>
        <v>598774686</v>
      </c>
      <c r="T12" s="70"/>
      <c r="U12" s="70"/>
      <c r="V12" s="70"/>
      <c r="W12" s="70">
        <f>S12</f>
        <v>598774686</v>
      </c>
      <c r="X12" s="70"/>
      <c r="Y12" s="70">
        <f t="shared" si="3"/>
        <v>3742341787.5</v>
      </c>
      <c r="Z12" s="67"/>
    </row>
    <row r="13" spans="1:26" s="40" customFormat="1" ht="24.75" customHeight="1" x14ac:dyDescent="0.25">
      <c r="A13" s="102"/>
      <c r="B13" s="64" t="s">
        <v>33</v>
      </c>
      <c r="C13" s="64"/>
      <c r="D13" s="64"/>
      <c r="E13" s="72">
        <f>SUM(E8:E12)</f>
        <v>1959455896.0999999</v>
      </c>
      <c r="F13" s="72">
        <f t="shared" ref="F13:Y13" si="6">SUM(F8:F12)</f>
        <v>12710343817.51111</v>
      </c>
      <c r="G13" s="72">
        <f t="shared" si="6"/>
        <v>12514667742.844444</v>
      </c>
      <c r="H13" s="72">
        <f t="shared" si="6"/>
        <v>11731957546.657778</v>
      </c>
      <c r="I13" s="72">
        <f t="shared" si="6"/>
        <v>11559058167.082312</v>
      </c>
      <c r="J13" s="72">
        <f t="shared" si="6"/>
        <v>11396532750.281372</v>
      </c>
      <c r="K13" s="72">
        <f t="shared" si="6"/>
        <v>11842533544.488489</v>
      </c>
      <c r="L13" s="72">
        <f t="shared" si="6"/>
        <v>11100151400.20318</v>
      </c>
      <c r="M13" s="72">
        <f t="shared" si="6"/>
        <v>10965160389.414989</v>
      </c>
      <c r="N13" s="72">
        <f t="shared" si="6"/>
        <v>10838268839.27409</v>
      </c>
      <c r="O13" s="72">
        <f t="shared" si="6"/>
        <v>11317765468.141645</v>
      </c>
      <c r="P13" s="72">
        <f t="shared" si="6"/>
        <v>10606869408.437147</v>
      </c>
      <c r="Q13" s="72">
        <f t="shared" si="6"/>
        <v>10501475317.154917</v>
      </c>
      <c r="R13" s="72">
        <f t="shared" si="6"/>
        <v>10402404871.349623</v>
      </c>
      <c r="S13" s="72">
        <f t="shared" si="6"/>
        <v>10908053338.292645</v>
      </c>
      <c r="T13" s="72">
        <f t="shared" si="6"/>
        <v>10221740006.379086</v>
      </c>
      <c r="U13" s="72">
        <f t="shared" si="6"/>
        <v>10139453679.220341</v>
      </c>
      <c r="V13" s="72">
        <f t="shared" si="6"/>
        <v>10062104531.69112</v>
      </c>
      <c r="W13" s="72">
        <f t="shared" si="6"/>
        <v>10588171019.013653</v>
      </c>
      <c r="X13" s="72">
        <f t="shared" si="6"/>
        <v>7454295919.8568344</v>
      </c>
      <c r="Y13" s="72">
        <f t="shared" si="6"/>
        <v>208820463653.39481</v>
      </c>
      <c r="Z13" s="67"/>
    </row>
    <row r="14" spans="1:26" s="76" customFormat="1" ht="24.75" customHeight="1" x14ac:dyDescent="0.25">
      <c r="A14" s="103"/>
      <c r="B14" s="73"/>
      <c r="C14" s="73"/>
      <c r="D14" s="73"/>
      <c r="E14" s="73"/>
      <c r="F14" s="74"/>
      <c r="G14" s="75"/>
      <c r="H14" s="74"/>
      <c r="I14" s="74"/>
      <c r="J14" s="74"/>
      <c r="K14" s="74"/>
      <c r="L14" s="74"/>
      <c r="M14" s="74"/>
      <c r="N14" s="74"/>
      <c r="O14" s="74"/>
      <c r="P14" s="74"/>
      <c r="Q14" s="74"/>
      <c r="R14" s="74"/>
      <c r="S14" s="74"/>
      <c r="T14" s="74"/>
      <c r="U14" s="74"/>
      <c r="V14" s="74"/>
      <c r="W14" s="74"/>
      <c r="X14" s="74"/>
      <c r="Y14" s="74"/>
      <c r="Z14" s="74"/>
    </row>
    <row r="16" spans="1:26" s="103" customFormat="1" ht="14.45" customHeight="1" x14ac:dyDescent="0.25">
      <c r="B16" s="717" t="str">
        <f>B8</f>
        <v>6.1  Promoción de la atención de las necesidades básicas de los actores vinculados a la cadena.</v>
      </c>
      <c r="C16" s="718"/>
      <c r="D16" s="718"/>
      <c r="E16" s="718"/>
      <c r="F16" s="718"/>
      <c r="G16" s="718"/>
      <c r="H16" s="718"/>
      <c r="I16" s="111"/>
      <c r="X16" s="78"/>
    </row>
    <row r="17" spans="2:24" s="103" customFormat="1" ht="14.45" customHeight="1" x14ac:dyDescent="0.25">
      <c r="B17" s="719"/>
      <c r="C17" s="719"/>
      <c r="D17" s="719"/>
      <c r="E17" s="719"/>
      <c r="F17" s="719"/>
      <c r="G17" s="719"/>
      <c r="H17" s="719"/>
      <c r="I17" s="111"/>
      <c r="X17" s="78"/>
    </row>
    <row r="18" spans="2:24" ht="15" x14ac:dyDescent="0.25">
      <c r="B18" s="79" t="s">
        <v>79</v>
      </c>
      <c r="C18" s="79" t="s">
        <v>59</v>
      </c>
      <c r="D18" s="79" t="s">
        <v>56</v>
      </c>
      <c r="E18" s="79" t="s">
        <v>55</v>
      </c>
      <c r="F18" s="80" t="s">
        <v>108</v>
      </c>
      <c r="G18" s="79" t="s">
        <v>81</v>
      </c>
      <c r="H18" s="79" t="s">
        <v>82</v>
      </c>
      <c r="X18" s="81"/>
    </row>
    <row r="19" spans="2:24" x14ac:dyDescent="0.2">
      <c r="B19" s="105" t="s">
        <v>83</v>
      </c>
      <c r="C19" s="105">
        <v>15</v>
      </c>
      <c r="D19" s="105" t="s">
        <v>179</v>
      </c>
      <c r="E19" s="82">
        <v>500000</v>
      </c>
      <c r="F19" s="105"/>
      <c r="G19" s="105"/>
      <c r="H19" s="82">
        <f t="shared" ref="H19:H26" si="7">C19*E19</f>
        <v>7500000</v>
      </c>
      <c r="J19" s="385"/>
    </row>
    <row r="20" spans="2:24" x14ac:dyDescent="0.2">
      <c r="B20" s="105" t="s">
        <v>85</v>
      </c>
      <c r="C20" s="105">
        <v>15</v>
      </c>
      <c r="D20" s="105" t="s">
        <v>179</v>
      </c>
      <c r="E20" s="82">
        <v>100000</v>
      </c>
      <c r="F20" s="105"/>
      <c r="G20" s="105"/>
      <c r="H20" s="82">
        <f t="shared" si="7"/>
        <v>1500000</v>
      </c>
      <c r="J20" s="385"/>
    </row>
    <row r="21" spans="2:24" x14ac:dyDescent="0.2">
      <c r="B21" s="105" t="s">
        <v>289</v>
      </c>
      <c r="C21" s="105">
        <f>(39360*50%)/20</f>
        <v>984</v>
      </c>
      <c r="D21" s="105" t="s">
        <v>288</v>
      </c>
      <c r="E21" s="82">
        <v>483000</v>
      </c>
      <c r="F21" s="105"/>
      <c r="G21" s="105"/>
      <c r="H21" s="82">
        <f>C21*E21</f>
        <v>475272000</v>
      </c>
      <c r="J21" s="385"/>
    </row>
    <row r="22" spans="2:24" x14ac:dyDescent="0.2">
      <c r="B22" s="105" t="s">
        <v>171</v>
      </c>
      <c r="C22" s="105">
        <f>10*15</f>
        <v>150</v>
      </c>
      <c r="D22" s="105" t="s">
        <v>76</v>
      </c>
      <c r="E22" s="82">
        <v>6000000</v>
      </c>
      <c r="F22" s="105"/>
      <c r="G22" s="105"/>
      <c r="H22" s="82">
        <f t="shared" si="7"/>
        <v>900000000</v>
      </c>
      <c r="I22" s="101"/>
      <c r="J22" s="385"/>
    </row>
    <row r="23" spans="2:24" x14ac:dyDescent="0.2">
      <c r="B23" s="105" t="s">
        <v>88</v>
      </c>
      <c r="C23" s="105">
        <f>10*15</f>
        <v>150</v>
      </c>
      <c r="D23" s="105" t="s">
        <v>76</v>
      </c>
      <c r="E23" s="82">
        <v>1800000</v>
      </c>
      <c r="F23" s="105"/>
      <c r="G23" s="105"/>
      <c r="H23" s="82">
        <f t="shared" si="7"/>
        <v>270000000</v>
      </c>
      <c r="I23" s="101"/>
      <c r="J23" s="385"/>
    </row>
    <row r="24" spans="2:24" x14ac:dyDescent="0.2">
      <c r="B24" s="105" t="s">
        <v>102</v>
      </c>
      <c r="C24" s="105">
        <f>15*2</f>
        <v>30</v>
      </c>
      <c r="D24" s="105" t="s">
        <v>181</v>
      </c>
      <c r="E24" s="82">
        <v>2300000</v>
      </c>
      <c r="F24" s="105"/>
      <c r="G24" s="105"/>
      <c r="H24" s="82">
        <f t="shared" si="7"/>
        <v>69000000</v>
      </c>
      <c r="J24" s="385"/>
    </row>
    <row r="25" spans="2:24" x14ac:dyDescent="0.2">
      <c r="B25" s="105" t="s">
        <v>103</v>
      </c>
      <c r="C25" s="105">
        <f>15*2</f>
        <v>30</v>
      </c>
      <c r="D25" s="105" t="s">
        <v>181</v>
      </c>
      <c r="E25" s="82">
        <v>460000</v>
      </c>
      <c r="F25" s="105"/>
      <c r="G25" s="105"/>
      <c r="H25" s="82">
        <f t="shared" si="7"/>
        <v>13800000</v>
      </c>
      <c r="J25" s="385"/>
    </row>
    <row r="26" spans="2:24" ht="17.45" customHeight="1" x14ac:dyDescent="0.2">
      <c r="B26" s="105" t="s">
        <v>217</v>
      </c>
      <c r="C26" s="105">
        <f>15*2</f>
        <v>30</v>
      </c>
      <c r="D26" s="105" t="s">
        <v>186</v>
      </c>
      <c r="E26" s="95">
        <v>5000000</v>
      </c>
      <c r="F26" s="105"/>
      <c r="G26" s="105"/>
      <c r="H26" s="82">
        <f t="shared" si="7"/>
        <v>150000000</v>
      </c>
      <c r="J26" s="385"/>
    </row>
    <row r="27" spans="2:24" x14ac:dyDescent="0.2">
      <c r="B27" s="105" t="s">
        <v>182</v>
      </c>
      <c r="C27" s="105">
        <v>2</v>
      </c>
      <c r="D27" s="105" t="s">
        <v>114</v>
      </c>
      <c r="E27" s="82">
        <v>5032173</v>
      </c>
      <c r="F27" s="105"/>
      <c r="G27" s="105">
        <v>4</v>
      </c>
      <c r="H27" s="82">
        <f>C27*E27*G27</f>
        <v>40257384</v>
      </c>
      <c r="I27" s="84"/>
      <c r="J27" s="385"/>
    </row>
    <row r="28" spans="2:24" x14ac:dyDescent="0.2">
      <c r="B28" s="105" t="s">
        <v>188</v>
      </c>
      <c r="C28" s="105">
        <v>7</v>
      </c>
      <c r="D28" s="105" t="s">
        <v>58</v>
      </c>
      <c r="E28" s="82">
        <v>14500000</v>
      </c>
      <c r="F28" s="105"/>
      <c r="G28" s="105"/>
      <c r="H28" s="82">
        <f>C28*E28</f>
        <v>101500000</v>
      </c>
      <c r="I28" s="84"/>
      <c r="J28" s="385"/>
    </row>
    <row r="29" spans="2:24" x14ac:dyDescent="0.2">
      <c r="B29" s="105" t="s">
        <v>183</v>
      </c>
      <c r="C29" s="105">
        <v>7</v>
      </c>
      <c r="D29" s="105" t="s">
        <v>185</v>
      </c>
      <c r="E29" s="95">
        <v>21000000</v>
      </c>
      <c r="F29" s="105"/>
      <c r="G29" s="105"/>
      <c r="H29" s="82">
        <f>C29*E29</f>
        <v>147000000</v>
      </c>
      <c r="J29" s="385"/>
    </row>
    <row r="30" spans="2:24" x14ac:dyDescent="0.2">
      <c r="B30" s="105" t="s">
        <v>184</v>
      </c>
      <c r="C30" s="118">
        <f>(39360*30%)/20</f>
        <v>590.4</v>
      </c>
      <c r="D30" s="105" t="s">
        <v>185</v>
      </c>
      <c r="E30" s="119">
        <v>25000</v>
      </c>
      <c r="F30" s="105"/>
      <c r="G30" s="105">
        <v>6</v>
      </c>
      <c r="H30" s="119">
        <f>C30*E30*G30</f>
        <v>88560000</v>
      </c>
      <c r="J30" s="385"/>
    </row>
    <row r="31" spans="2:24" x14ac:dyDescent="0.2">
      <c r="B31" s="105" t="s">
        <v>198</v>
      </c>
      <c r="C31" s="118">
        <f>(39360*30%)/20</f>
        <v>590.4</v>
      </c>
      <c r="D31" s="105" t="s">
        <v>185</v>
      </c>
      <c r="E31" s="119">
        <v>300000</v>
      </c>
      <c r="F31" s="105"/>
      <c r="G31" s="105"/>
      <c r="H31" s="119">
        <f>C31*E31</f>
        <v>177120000</v>
      </c>
      <c r="J31" s="385"/>
    </row>
    <row r="32" spans="2:24" x14ac:dyDescent="0.2">
      <c r="B32" s="105" t="s">
        <v>199</v>
      </c>
      <c r="C32" s="118">
        <f>(39360*30%)/20</f>
        <v>590.4</v>
      </c>
      <c r="D32" s="105" t="s">
        <v>185</v>
      </c>
      <c r="E32" s="95">
        <v>600000</v>
      </c>
      <c r="F32" s="105"/>
      <c r="G32" s="105"/>
      <c r="H32" s="119">
        <f>C32*E32</f>
        <v>354240000</v>
      </c>
      <c r="J32" s="385"/>
    </row>
    <row r="33" spans="1:10" x14ac:dyDescent="0.2">
      <c r="B33" s="105" t="s">
        <v>189</v>
      </c>
      <c r="C33" s="118">
        <v>7</v>
      </c>
      <c r="D33" s="105" t="s">
        <v>186</v>
      </c>
      <c r="E33" s="95">
        <v>10000000</v>
      </c>
      <c r="F33" s="105"/>
      <c r="G33" s="105"/>
      <c r="H33" s="119">
        <f>C33*E33</f>
        <v>70000000</v>
      </c>
      <c r="J33" s="385"/>
    </row>
    <row r="34" spans="1:10" x14ac:dyDescent="0.2">
      <c r="B34" s="105" t="s">
        <v>188</v>
      </c>
      <c r="C34" s="105">
        <v>7</v>
      </c>
      <c r="D34" s="105" t="s">
        <v>84</v>
      </c>
      <c r="E34" s="95">
        <v>14500000</v>
      </c>
      <c r="F34" s="105"/>
      <c r="G34" s="105"/>
      <c r="H34" s="82">
        <f>C34*E34</f>
        <v>101500000</v>
      </c>
      <c r="J34" s="385"/>
    </row>
    <row r="35" spans="1:10" x14ac:dyDescent="0.2">
      <c r="B35" s="105" t="s">
        <v>90</v>
      </c>
      <c r="C35" s="105">
        <v>2</v>
      </c>
      <c r="D35" s="105" t="s">
        <v>160</v>
      </c>
      <c r="E35" s="82">
        <v>7862772</v>
      </c>
      <c r="F35" s="209"/>
      <c r="G35" s="105">
        <v>10</v>
      </c>
      <c r="H35" s="82">
        <f>C35*E35*G35</f>
        <v>157255440</v>
      </c>
      <c r="I35" s="44"/>
      <c r="J35" s="385"/>
    </row>
    <row r="36" spans="1:10" x14ac:dyDescent="0.2">
      <c r="B36" s="105" t="s">
        <v>173</v>
      </c>
      <c r="C36" s="105">
        <v>7</v>
      </c>
      <c r="D36" s="105" t="s">
        <v>160</v>
      </c>
      <c r="E36" s="82">
        <v>2682805</v>
      </c>
      <c r="F36" s="209"/>
      <c r="G36" s="105">
        <v>8</v>
      </c>
      <c r="H36" s="82">
        <f t="shared" ref="H36:H38" si="8">C36*E36*G36</f>
        <v>150237080</v>
      </c>
      <c r="J36" s="385"/>
    </row>
    <row r="37" spans="1:10" x14ac:dyDescent="0.2">
      <c r="B37" s="105" t="s">
        <v>57</v>
      </c>
      <c r="C37" s="105">
        <v>7</v>
      </c>
      <c r="D37" s="105" t="s">
        <v>160</v>
      </c>
      <c r="E37" s="82">
        <v>1300000</v>
      </c>
      <c r="F37" s="209"/>
      <c r="G37" s="105">
        <v>8</v>
      </c>
      <c r="H37" s="82">
        <f t="shared" si="8"/>
        <v>72800000</v>
      </c>
      <c r="J37" s="388"/>
    </row>
    <row r="38" spans="1:10" x14ac:dyDescent="0.2">
      <c r="B38" s="105" t="s">
        <v>194</v>
      </c>
      <c r="C38" s="105">
        <v>7</v>
      </c>
      <c r="D38" s="105" t="s">
        <v>195</v>
      </c>
      <c r="E38" s="82">
        <v>155000</v>
      </c>
      <c r="F38" s="209"/>
      <c r="G38" s="105">
        <v>8</v>
      </c>
      <c r="H38" s="82">
        <f t="shared" si="8"/>
        <v>8680000</v>
      </c>
      <c r="J38" s="388"/>
    </row>
    <row r="39" spans="1:10" ht="15" x14ac:dyDescent="0.25">
      <c r="B39" s="105" t="s">
        <v>187</v>
      </c>
      <c r="C39" s="105"/>
      <c r="D39" s="105"/>
      <c r="E39" s="105"/>
      <c r="F39" s="105"/>
      <c r="G39" s="105"/>
      <c r="H39" s="82" t="s">
        <v>78</v>
      </c>
      <c r="I39" s="115" t="s">
        <v>174</v>
      </c>
      <c r="J39" s="138"/>
    </row>
    <row r="40" spans="1:10" ht="15" x14ac:dyDescent="0.25">
      <c r="B40" s="86" t="s">
        <v>33</v>
      </c>
      <c r="C40" s="87"/>
      <c r="D40" s="87"/>
      <c r="E40" s="87"/>
      <c r="F40" s="88"/>
      <c r="G40" s="88"/>
      <c r="H40" s="89">
        <f>SUM(H19:H39)</f>
        <v>3356221904</v>
      </c>
      <c r="I40" s="115">
        <f>H40/12</f>
        <v>279685158.66666669</v>
      </c>
      <c r="J40" s="103"/>
    </row>
    <row r="41" spans="1:10" s="103" customFormat="1" ht="408.95" customHeight="1" x14ac:dyDescent="0.2">
      <c r="B41" s="132" t="s">
        <v>436</v>
      </c>
      <c r="C41" s="90"/>
      <c r="D41" s="122"/>
      <c r="E41" s="90"/>
      <c r="F41" s="117"/>
      <c r="G41" s="90"/>
      <c r="H41" s="90"/>
      <c r="I41" s="101"/>
    </row>
    <row r="42" spans="1:10" ht="15" x14ac:dyDescent="0.25">
      <c r="B42" s="110"/>
      <c r="C42" s="110"/>
      <c r="D42" s="110"/>
      <c r="E42" s="110"/>
      <c r="F42" s="110"/>
      <c r="G42" s="110"/>
      <c r="H42" s="110"/>
      <c r="I42" s="91"/>
    </row>
    <row r="43" spans="1:10" s="103" customFormat="1" ht="14.45" customHeight="1" x14ac:dyDescent="0.25">
      <c r="A43" s="92"/>
      <c r="B43" s="717" t="str">
        <f>B9</f>
        <v>6.2. Contribución al incremento del nivel educativo de los actores vinculados a la cadena.</v>
      </c>
      <c r="C43" s="718"/>
      <c r="D43" s="718"/>
      <c r="E43" s="718"/>
      <c r="F43" s="718"/>
      <c r="G43" s="718"/>
      <c r="H43" s="718"/>
    </row>
    <row r="44" spans="1:10" hidden="1" x14ac:dyDescent="0.2">
      <c r="B44" s="110"/>
      <c r="C44" s="110"/>
      <c r="D44" s="110"/>
      <c r="E44" s="110"/>
      <c r="F44" s="110"/>
      <c r="G44" s="110"/>
      <c r="H44" s="110"/>
    </row>
    <row r="45" spans="1:10" ht="15" x14ac:dyDescent="0.25">
      <c r="B45" s="79" t="s">
        <v>79</v>
      </c>
      <c r="C45" s="79" t="s">
        <v>59</v>
      </c>
      <c r="D45" s="79" t="s">
        <v>56</v>
      </c>
      <c r="E45" s="79" t="s">
        <v>55</v>
      </c>
      <c r="F45" s="79" t="s">
        <v>80</v>
      </c>
      <c r="G45" s="79" t="s">
        <v>81</v>
      </c>
      <c r="H45" s="79" t="s">
        <v>82</v>
      </c>
    </row>
    <row r="46" spans="1:10" s="103" customFormat="1" x14ac:dyDescent="0.2">
      <c r="A46" s="93"/>
      <c r="B46" s="120" t="s">
        <v>83</v>
      </c>
      <c r="C46" s="120">
        <v>15</v>
      </c>
      <c r="D46" s="104" t="s">
        <v>84</v>
      </c>
      <c r="E46" s="45">
        <v>500000</v>
      </c>
      <c r="F46" s="104"/>
      <c r="G46" s="104"/>
      <c r="H46" s="82">
        <f>C46*E46</f>
        <v>7500000</v>
      </c>
      <c r="I46" s="44"/>
      <c r="J46" s="138"/>
    </row>
    <row r="47" spans="1:10" s="103" customFormat="1" x14ac:dyDescent="0.2">
      <c r="B47" s="120" t="s">
        <v>85</v>
      </c>
      <c r="C47" s="120">
        <v>15</v>
      </c>
      <c r="D47" s="104" t="s">
        <v>84</v>
      </c>
      <c r="E47" s="45">
        <v>100000</v>
      </c>
      <c r="F47" s="104"/>
      <c r="G47" s="104"/>
      <c r="H47" s="82">
        <f>C47*E47</f>
        <v>1500000</v>
      </c>
      <c r="I47" s="44"/>
      <c r="J47" s="138"/>
    </row>
    <row r="48" spans="1:10" s="103" customFormat="1" x14ac:dyDescent="0.2">
      <c r="B48" s="120" t="s">
        <v>102</v>
      </c>
      <c r="C48" s="120">
        <v>15</v>
      </c>
      <c r="D48" s="104" t="s">
        <v>84</v>
      </c>
      <c r="E48" s="45">
        <v>2300000</v>
      </c>
      <c r="F48" s="104"/>
      <c r="G48" s="104"/>
      <c r="H48" s="82">
        <f t="shared" ref="H48:H49" si="9">C48*E48</f>
        <v>34500000</v>
      </c>
      <c r="I48" s="44"/>
      <c r="J48" s="138"/>
    </row>
    <row r="49" spans="1:10" x14ac:dyDescent="0.2">
      <c r="B49" s="120" t="s">
        <v>103</v>
      </c>
      <c r="C49" s="120">
        <v>15</v>
      </c>
      <c r="D49" s="104" t="s">
        <v>84</v>
      </c>
      <c r="E49" s="45">
        <v>460000</v>
      </c>
      <c r="F49" s="104"/>
      <c r="G49" s="104"/>
      <c r="H49" s="82">
        <f t="shared" si="9"/>
        <v>6900000</v>
      </c>
      <c r="I49" s="101"/>
      <c r="J49" s="138"/>
    </row>
    <row r="50" spans="1:10" x14ac:dyDescent="0.2">
      <c r="B50" s="104" t="s">
        <v>189</v>
      </c>
      <c r="C50" s="120">
        <f>7*100</f>
        <v>700</v>
      </c>
      <c r="D50" s="104" t="s">
        <v>84</v>
      </c>
      <c r="E50" s="109">
        <v>100000</v>
      </c>
      <c r="F50" s="104"/>
      <c r="G50" s="104"/>
      <c r="H50" s="82">
        <f>C50*E50</f>
        <v>70000000</v>
      </c>
      <c r="I50" s="44"/>
      <c r="J50" s="53"/>
    </row>
    <row r="51" spans="1:10" x14ac:dyDescent="0.2">
      <c r="B51" s="104" t="s">
        <v>198</v>
      </c>
      <c r="C51" s="120">
        <f>7*10</f>
        <v>70</v>
      </c>
      <c r="D51" s="104" t="s">
        <v>185</v>
      </c>
      <c r="E51" s="109">
        <v>300000</v>
      </c>
      <c r="F51" s="104"/>
      <c r="G51" s="104"/>
      <c r="H51" s="82">
        <f>C51*E51</f>
        <v>21000000</v>
      </c>
      <c r="I51" s="44"/>
      <c r="J51" s="53"/>
    </row>
    <row r="52" spans="1:10" x14ac:dyDescent="0.2">
      <c r="B52" s="104" t="s">
        <v>199</v>
      </c>
      <c r="C52" s="120">
        <f>7*10</f>
        <v>70</v>
      </c>
      <c r="D52" s="104" t="s">
        <v>185</v>
      </c>
      <c r="E52" s="109">
        <v>600000</v>
      </c>
      <c r="F52" s="104"/>
      <c r="G52" s="104"/>
      <c r="H52" s="82">
        <f>C52*E52</f>
        <v>42000000</v>
      </c>
      <c r="I52" s="44"/>
      <c r="J52" s="53"/>
    </row>
    <row r="53" spans="1:10" x14ac:dyDescent="0.2">
      <c r="B53" s="104" t="s">
        <v>202</v>
      </c>
      <c r="C53" s="120">
        <v>10</v>
      </c>
      <c r="D53" s="104" t="s">
        <v>84</v>
      </c>
      <c r="E53" s="109">
        <v>14500000</v>
      </c>
      <c r="F53" s="104"/>
      <c r="G53" s="104"/>
      <c r="H53" s="82">
        <f>C53*E53</f>
        <v>145000000</v>
      </c>
      <c r="I53" s="44"/>
      <c r="J53" s="53"/>
    </row>
    <row r="54" spans="1:10" x14ac:dyDescent="0.2">
      <c r="B54" s="120" t="s">
        <v>90</v>
      </c>
      <c r="C54" s="120">
        <v>2</v>
      </c>
      <c r="D54" s="104" t="s">
        <v>195</v>
      </c>
      <c r="E54" s="109">
        <v>7862772</v>
      </c>
      <c r="F54" s="94"/>
      <c r="G54" s="104">
        <v>10</v>
      </c>
      <c r="H54" s="82">
        <f>C54*E54*G54</f>
        <v>157255440</v>
      </c>
      <c r="I54" s="44"/>
      <c r="J54" s="53"/>
    </row>
    <row r="55" spans="1:10" x14ac:dyDescent="0.2">
      <c r="B55" s="104" t="s">
        <v>173</v>
      </c>
      <c r="C55" s="104">
        <v>7</v>
      </c>
      <c r="D55" s="104" t="s">
        <v>195</v>
      </c>
      <c r="E55" s="45">
        <v>2516084</v>
      </c>
      <c r="F55" s="98"/>
      <c r="G55" s="104">
        <v>8</v>
      </c>
      <c r="H55" s="82">
        <f t="shared" ref="H55:H57" si="10">C55*E55*G55</f>
        <v>140900704</v>
      </c>
      <c r="I55" s="44"/>
      <c r="J55" s="53"/>
    </row>
    <row r="56" spans="1:10" x14ac:dyDescent="0.2">
      <c r="B56" s="104" t="s">
        <v>57</v>
      </c>
      <c r="C56" s="104">
        <v>7</v>
      </c>
      <c r="D56" s="104" t="s">
        <v>195</v>
      </c>
      <c r="E56" s="45">
        <v>1300000</v>
      </c>
      <c r="F56" s="98"/>
      <c r="G56" s="104">
        <v>8</v>
      </c>
      <c r="H56" s="82">
        <f t="shared" si="10"/>
        <v>72800000</v>
      </c>
      <c r="I56" s="44"/>
      <c r="J56" s="53"/>
    </row>
    <row r="57" spans="1:10" x14ac:dyDescent="0.2">
      <c r="B57" s="104" t="s">
        <v>194</v>
      </c>
      <c r="C57" s="104">
        <v>7</v>
      </c>
      <c r="D57" s="104" t="s">
        <v>196</v>
      </c>
      <c r="E57" s="45">
        <v>155000</v>
      </c>
      <c r="F57" s="98"/>
      <c r="G57" s="104">
        <v>8</v>
      </c>
      <c r="H57" s="82">
        <f t="shared" si="10"/>
        <v>8680000</v>
      </c>
      <c r="I57" s="44"/>
      <c r="J57" s="53"/>
    </row>
    <row r="58" spans="1:10" x14ac:dyDescent="0.2">
      <c r="B58" s="104" t="s">
        <v>197</v>
      </c>
      <c r="C58" s="104"/>
      <c r="D58" s="104"/>
      <c r="E58" s="45"/>
      <c r="F58" s="104"/>
      <c r="G58" s="104"/>
      <c r="H58" s="82" t="s">
        <v>78</v>
      </c>
      <c r="I58" s="44"/>
      <c r="J58" s="53"/>
    </row>
    <row r="59" spans="1:10" x14ac:dyDescent="0.2">
      <c r="B59" s="96" t="s">
        <v>193</v>
      </c>
      <c r="C59" s="104"/>
      <c r="D59" s="104"/>
      <c r="E59" s="109"/>
      <c r="F59" s="97"/>
      <c r="G59" s="104"/>
      <c r="H59" s="82" t="s">
        <v>78</v>
      </c>
      <c r="I59" s="44"/>
      <c r="J59" s="53"/>
    </row>
    <row r="60" spans="1:10" ht="15" x14ac:dyDescent="0.25">
      <c r="B60" s="86" t="s">
        <v>96</v>
      </c>
      <c r="C60" s="87"/>
      <c r="D60" s="87"/>
      <c r="E60" s="88"/>
      <c r="F60" s="88"/>
      <c r="G60" s="87"/>
      <c r="H60" s="99">
        <f>SUM(H46:H59)</f>
        <v>708036144</v>
      </c>
      <c r="I60" s="99">
        <f>H60/12</f>
        <v>59003012</v>
      </c>
      <c r="J60" s="53"/>
    </row>
    <row r="61" spans="1:10" s="103" customFormat="1" ht="260.45" hidden="1" customHeight="1" x14ac:dyDescent="0.2">
      <c r="B61" s="100" t="s">
        <v>97</v>
      </c>
      <c r="C61" s="110"/>
      <c r="D61" s="110"/>
      <c r="E61" s="110"/>
      <c r="F61" s="110"/>
      <c r="G61" s="110"/>
      <c r="H61" s="110"/>
      <c r="J61" s="53"/>
    </row>
    <row r="62" spans="1:10" ht="228.75" customHeight="1" x14ac:dyDescent="0.2">
      <c r="B62" s="132" t="s">
        <v>407</v>
      </c>
      <c r="C62" s="103"/>
      <c r="D62" s="103"/>
      <c r="E62" s="103"/>
      <c r="F62" s="78"/>
      <c r="G62" s="78"/>
      <c r="H62" s="103"/>
      <c r="J62" s="53"/>
    </row>
    <row r="63" spans="1:10" ht="27.95" customHeight="1" x14ac:dyDescent="0.25">
      <c r="B63" s="103"/>
      <c r="C63" s="103"/>
      <c r="D63" s="722"/>
      <c r="E63" s="722"/>
      <c r="F63" s="722"/>
      <c r="G63" s="722"/>
      <c r="H63" s="722"/>
      <c r="J63" s="53"/>
    </row>
    <row r="64" spans="1:10" s="103" customFormat="1" ht="14.45" customHeight="1" x14ac:dyDescent="0.25">
      <c r="A64" s="92"/>
      <c r="B64" s="717" t="str">
        <f>B10</f>
        <v>6.3. Mejora en las capacidades técnicas de los agentes económicos de la cadena</v>
      </c>
      <c r="C64" s="718"/>
      <c r="D64" s="718"/>
      <c r="E64" s="718"/>
      <c r="F64" s="718"/>
      <c r="G64" s="718"/>
      <c r="H64" s="718"/>
    </row>
    <row r="65" spans="1:10" hidden="1" x14ac:dyDescent="0.2">
      <c r="B65" s="110"/>
      <c r="C65" s="110"/>
      <c r="D65" s="110"/>
      <c r="E65" s="110"/>
      <c r="F65" s="110"/>
      <c r="G65" s="110"/>
      <c r="H65" s="110"/>
      <c r="J65" s="103"/>
    </row>
    <row r="66" spans="1:10" ht="15" x14ac:dyDescent="0.25">
      <c r="B66" s="79" t="s">
        <v>79</v>
      </c>
      <c r="C66" s="79" t="s">
        <v>59</v>
      </c>
      <c r="D66" s="79" t="s">
        <v>56</v>
      </c>
      <c r="E66" s="79" t="s">
        <v>55</v>
      </c>
      <c r="F66" s="79" t="s">
        <v>80</v>
      </c>
      <c r="G66" s="79" t="s">
        <v>81</v>
      </c>
      <c r="H66" s="79" t="s">
        <v>82</v>
      </c>
      <c r="J66" s="103"/>
    </row>
    <row r="67" spans="1:10" x14ac:dyDescent="0.2">
      <c r="B67" s="104" t="s">
        <v>219</v>
      </c>
      <c r="C67" s="120">
        <v>2</v>
      </c>
      <c r="D67" s="104" t="s">
        <v>195</v>
      </c>
      <c r="E67" s="109">
        <v>5032173</v>
      </c>
      <c r="F67" s="104"/>
      <c r="G67" s="104">
        <v>4</v>
      </c>
      <c r="H67" s="82">
        <f>C67*E67*G67</f>
        <v>40257384</v>
      </c>
      <c r="I67" s="44"/>
      <c r="J67" s="103"/>
    </row>
    <row r="68" spans="1:10" s="103" customFormat="1" x14ac:dyDescent="0.2">
      <c r="A68" s="93"/>
      <c r="B68" s="120" t="s">
        <v>83</v>
      </c>
      <c r="C68" s="120">
        <v>12</v>
      </c>
      <c r="D68" s="104" t="s">
        <v>84</v>
      </c>
      <c r="E68" s="45">
        <v>500000</v>
      </c>
      <c r="F68" s="104"/>
      <c r="G68" s="104"/>
      <c r="H68" s="82">
        <f>C68*E68</f>
        <v>6000000</v>
      </c>
      <c r="I68" s="44"/>
    </row>
    <row r="69" spans="1:10" s="103" customFormat="1" x14ac:dyDescent="0.2">
      <c r="B69" s="120" t="s">
        <v>85</v>
      </c>
      <c r="C69" s="120">
        <v>12</v>
      </c>
      <c r="D69" s="104" t="s">
        <v>84</v>
      </c>
      <c r="E69" s="45">
        <v>100000</v>
      </c>
      <c r="F69" s="104"/>
      <c r="G69" s="104"/>
      <c r="H69" s="82">
        <f>C69*E69</f>
        <v>1200000</v>
      </c>
      <c r="I69" s="44"/>
    </row>
    <row r="70" spans="1:10" s="103" customFormat="1" x14ac:dyDescent="0.2">
      <c r="B70" s="120" t="s">
        <v>102</v>
      </c>
      <c r="C70" s="120">
        <f>15*4</f>
        <v>60</v>
      </c>
      <c r="D70" s="104" t="s">
        <v>84</v>
      </c>
      <c r="E70" s="45">
        <v>2300000</v>
      </c>
      <c r="F70" s="104"/>
      <c r="G70" s="104">
        <v>4</v>
      </c>
      <c r="H70" s="82">
        <f>C70*E70*G70</f>
        <v>552000000</v>
      </c>
      <c r="I70" s="44"/>
    </row>
    <row r="71" spans="1:10" x14ac:dyDescent="0.2">
      <c r="B71" s="120" t="s">
        <v>103</v>
      </c>
      <c r="C71" s="120">
        <f>15*4</f>
        <v>60</v>
      </c>
      <c r="D71" s="104" t="s">
        <v>84</v>
      </c>
      <c r="E71" s="45">
        <v>460000</v>
      </c>
      <c r="F71" s="104"/>
      <c r="G71" s="104">
        <v>4</v>
      </c>
      <c r="H71" s="82">
        <f>C71*E71*G71</f>
        <v>110400000</v>
      </c>
      <c r="I71" s="101"/>
      <c r="J71" s="103"/>
    </row>
    <row r="72" spans="1:10" x14ac:dyDescent="0.2">
      <c r="B72" s="120" t="s">
        <v>220</v>
      </c>
      <c r="C72" s="120">
        <v>350</v>
      </c>
      <c r="D72" s="104" t="s">
        <v>84</v>
      </c>
      <c r="E72" s="45">
        <v>30000</v>
      </c>
      <c r="F72" s="104"/>
      <c r="G72" s="104"/>
      <c r="H72" s="82">
        <f>C72*E72</f>
        <v>10500000</v>
      </c>
      <c r="I72" s="101"/>
      <c r="J72" s="103"/>
    </row>
    <row r="73" spans="1:10" x14ac:dyDescent="0.2">
      <c r="B73" s="120" t="s">
        <v>87</v>
      </c>
      <c r="C73" s="120">
        <f>15*4</f>
        <v>60</v>
      </c>
      <c r="D73" s="104" t="s">
        <v>76</v>
      </c>
      <c r="E73" s="45">
        <v>6000000</v>
      </c>
      <c r="F73" s="98">
        <v>0.5</v>
      </c>
      <c r="G73" s="104"/>
      <c r="H73" s="82">
        <f t="shared" ref="H73:H78" si="11">C73*E73*F73</f>
        <v>180000000</v>
      </c>
      <c r="I73" s="101"/>
      <c r="J73" s="103"/>
    </row>
    <row r="74" spans="1:10" x14ac:dyDescent="0.2">
      <c r="B74" s="121" t="s">
        <v>88</v>
      </c>
      <c r="C74" s="121">
        <f>15*4</f>
        <v>60</v>
      </c>
      <c r="D74" s="104" t="s">
        <v>76</v>
      </c>
      <c r="E74" s="45">
        <v>1800000</v>
      </c>
      <c r="F74" s="98">
        <v>0.5</v>
      </c>
      <c r="G74" s="104"/>
      <c r="H74" s="82">
        <f t="shared" si="11"/>
        <v>54000000</v>
      </c>
      <c r="I74" s="101"/>
      <c r="J74" s="103"/>
    </row>
    <row r="75" spans="1:10" x14ac:dyDescent="0.2">
      <c r="B75" s="120" t="s">
        <v>178</v>
      </c>
      <c r="C75" s="121">
        <f>15*4</f>
        <v>60</v>
      </c>
      <c r="D75" s="104" t="s">
        <v>158</v>
      </c>
      <c r="E75" s="45">
        <v>1500000</v>
      </c>
      <c r="F75" s="98">
        <v>0.5</v>
      </c>
      <c r="G75" s="104"/>
      <c r="H75" s="82">
        <f t="shared" si="11"/>
        <v>45000000</v>
      </c>
      <c r="I75" s="101"/>
      <c r="J75" s="103"/>
    </row>
    <row r="76" spans="1:10" s="103" customFormat="1" x14ac:dyDescent="0.2">
      <c r="A76" s="93"/>
      <c r="B76" s="120" t="s">
        <v>190</v>
      </c>
      <c r="C76" s="120">
        <f>15*4</f>
        <v>60</v>
      </c>
      <c r="D76" s="104" t="s">
        <v>158</v>
      </c>
      <c r="E76" s="45">
        <v>450000</v>
      </c>
      <c r="F76" s="98">
        <v>0.5</v>
      </c>
      <c r="G76" s="104"/>
      <c r="H76" s="82">
        <f t="shared" si="11"/>
        <v>13500000</v>
      </c>
      <c r="I76" s="84"/>
    </row>
    <row r="77" spans="1:10" s="103" customFormat="1" x14ac:dyDescent="0.2">
      <c r="A77" s="93"/>
      <c r="B77" s="49" t="s">
        <v>191</v>
      </c>
      <c r="C77" s="120">
        <f>15*3</f>
        <v>45</v>
      </c>
      <c r="D77" s="104" t="s">
        <v>158</v>
      </c>
      <c r="E77" s="45">
        <v>3000000</v>
      </c>
      <c r="F77" s="98">
        <v>0.5</v>
      </c>
      <c r="G77" s="104"/>
      <c r="H77" s="82">
        <f t="shared" si="11"/>
        <v>67500000</v>
      </c>
      <c r="I77" s="85"/>
    </row>
    <row r="78" spans="1:10" s="103" customFormat="1" x14ac:dyDescent="0.2">
      <c r="B78" s="49" t="s">
        <v>192</v>
      </c>
      <c r="C78" s="120">
        <f>15*3</f>
        <v>45</v>
      </c>
      <c r="D78" s="103" t="s">
        <v>158</v>
      </c>
      <c r="E78" s="45">
        <v>900000</v>
      </c>
      <c r="F78" s="98">
        <v>0.5</v>
      </c>
      <c r="G78" s="104"/>
      <c r="H78" s="82">
        <f t="shared" si="11"/>
        <v>20250000</v>
      </c>
      <c r="I78" s="84"/>
    </row>
    <row r="79" spans="1:10" x14ac:dyDescent="0.2">
      <c r="B79" s="105" t="s">
        <v>322</v>
      </c>
      <c r="C79" s="118">
        <f>(39360*30%)/20</f>
        <v>590.4</v>
      </c>
      <c r="D79" s="105" t="s">
        <v>180</v>
      </c>
      <c r="E79" s="82">
        <v>1610000</v>
      </c>
      <c r="F79" s="209"/>
      <c r="G79" s="105"/>
      <c r="H79" s="82">
        <f>C79*E79</f>
        <v>950544000</v>
      </c>
      <c r="J79" s="103"/>
    </row>
    <row r="80" spans="1:10" x14ac:dyDescent="0.2">
      <c r="B80" s="104" t="s">
        <v>61</v>
      </c>
      <c r="C80" s="120">
        <v>15</v>
      </c>
      <c r="D80" s="104" t="s">
        <v>84</v>
      </c>
      <c r="E80" s="109">
        <v>14500000</v>
      </c>
      <c r="F80" s="104"/>
      <c r="G80" s="104"/>
      <c r="H80" s="82">
        <f>C80*E80</f>
        <v>217500000</v>
      </c>
      <c r="I80" s="44"/>
      <c r="J80" s="103"/>
    </row>
    <row r="81" spans="1:28" x14ac:dyDescent="0.2">
      <c r="B81" s="120" t="s">
        <v>90</v>
      </c>
      <c r="C81" s="120">
        <v>2</v>
      </c>
      <c r="D81" s="104" t="s">
        <v>160</v>
      </c>
      <c r="E81" s="109">
        <v>5661197</v>
      </c>
      <c r="F81" s="94"/>
      <c r="G81" s="104">
        <v>10</v>
      </c>
      <c r="H81" s="82">
        <f t="shared" ref="H81:H84" si="12">C81*E81</f>
        <v>11322394</v>
      </c>
      <c r="I81" s="44"/>
      <c r="J81" s="103"/>
    </row>
    <row r="82" spans="1:28" x14ac:dyDescent="0.2">
      <c r="B82" s="104" t="s">
        <v>173</v>
      </c>
      <c r="C82" s="104">
        <v>7</v>
      </c>
      <c r="D82" s="104" t="s">
        <v>195</v>
      </c>
      <c r="E82" s="45">
        <v>3931384</v>
      </c>
      <c r="F82" s="98"/>
      <c r="G82" s="104">
        <v>10</v>
      </c>
      <c r="H82" s="82">
        <f t="shared" si="12"/>
        <v>27519688</v>
      </c>
      <c r="I82" s="44"/>
      <c r="J82" s="103"/>
    </row>
    <row r="83" spans="1:28" x14ac:dyDescent="0.2">
      <c r="B83" s="104" t="s">
        <v>57</v>
      </c>
      <c r="C83" s="104">
        <v>7</v>
      </c>
      <c r="D83" s="104" t="s">
        <v>160</v>
      </c>
      <c r="E83" s="45">
        <v>1300000</v>
      </c>
      <c r="F83" s="98"/>
      <c r="G83" s="104">
        <v>10</v>
      </c>
      <c r="H83" s="82">
        <f t="shared" si="12"/>
        <v>9100000</v>
      </c>
      <c r="I83" s="44"/>
      <c r="J83" s="103"/>
    </row>
    <row r="84" spans="1:28" x14ac:dyDescent="0.2">
      <c r="B84" s="104" t="s">
        <v>194</v>
      </c>
      <c r="C84" s="104">
        <v>7</v>
      </c>
      <c r="D84" s="104" t="s">
        <v>196</v>
      </c>
      <c r="E84" s="45">
        <v>385000</v>
      </c>
      <c r="F84" s="98"/>
      <c r="G84" s="104">
        <v>10</v>
      </c>
      <c r="H84" s="82">
        <f t="shared" si="12"/>
        <v>2695000</v>
      </c>
      <c r="I84" s="44"/>
      <c r="J84" s="103"/>
    </row>
    <row r="85" spans="1:28" x14ac:dyDescent="0.2">
      <c r="B85" s="104" t="s">
        <v>204</v>
      </c>
      <c r="C85" s="104"/>
      <c r="D85" s="104"/>
      <c r="E85" s="45"/>
      <c r="F85" s="104"/>
      <c r="G85" s="104"/>
      <c r="H85" s="82" t="s">
        <v>78</v>
      </c>
      <c r="I85" s="44"/>
    </row>
    <row r="86" spans="1:28" ht="15" x14ac:dyDescent="0.25">
      <c r="B86" s="96" t="s">
        <v>203</v>
      </c>
      <c r="C86" s="104"/>
      <c r="D86" s="104"/>
      <c r="E86" s="109"/>
      <c r="F86" s="97"/>
      <c r="G86" s="104"/>
      <c r="H86" s="82"/>
      <c r="I86" s="99" t="s">
        <v>174</v>
      </c>
    </row>
    <row r="87" spans="1:28" ht="15" x14ac:dyDescent="0.25">
      <c r="B87" s="86" t="s">
        <v>325</v>
      </c>
      <c r="C87" s="87"/>
      <c r="D87" s="87"/>
      <c r="E87" s="88"/>
      <c r="F87" s="88"/>
      <c r="G87" s="87"/>
      <c r="H87" s="99">
        <f>SUM(H67:H86)</f>
        <v>2319288466</v>
      </c>
      <c r="I87" s="99">
        <f>H87/12</f>
        <v>193274038.83333334</v>
      </c>
    </row>
    <row r="88" spans="1:28" s="103" customFormat="1" ht="260.45" hidden="1" customHeight="1" x14ac:dyDescent="0.2">
      <c r="B88" s="100" t="s">
        <v>97</v>
      </c>
      <c r="C88" s="110"/>
      <c r="D88" s="110"/>
      <c r="E88" s="110"/>
      <c r="F88" s="110"/>
      <c r="G88" s="110"/>
      <c r="H88" s="110"/>
      <c r="J88" s="102"/>
      <c r="AB88" s="102"/>
    </row>
    <row r="89" spans="1:28" s="103" customFormat="1" ht="15" x14ac:dyDescent="0.25">
      <c r="B89" s="100"/>
      <c r="H89" s="79">
        <v>1</v>
      </c>
      <c r="I89" s="215">
        <v>2</v>
      </c>
      <c r="J89" s="79">
        <v>3</v>
      </c>
      <c r="K89" s="215">
        <v>4</v>
      </c>
      <c r="L89" s="79">
        <v>5</v>
      </c>
      <c r="M89" s="215">
        <v>6</v>
      </c>
      <c r="N89" s="79">
        <v>7</v>
      </c>
      <c r="O89" s="215">
        <v>8</v>
      </c>
      <c r="P89" s="79">
        <v>9</v>
      </c>
      <c r="Q89" s="215">
        <v>10</v>
      </c>
      <c r="R89" s="79">
        <v>11</v>
      </c>
      <c r="S89" s="215">
        <v>12</v>
      </c>
      <c r="T89" s="79">
        <v>13</v>
      </c>
      <c r="U89" s="215">
        <v>14</v>
      </c>
      <c r="V89" s="79">
        <v>15</v>
      </c>
      <c r="W89" s="215">
        <v>16</v>
      </c>
      <c r="X89" s="79">
        <v>17</v>
      </c>
      <c r="Y89" s="215">
        <v>18</v>
      </c>
      <c r="Z89" s="79">
        <v>19</v>
      </c>
      <c r="AA89" s="215">
        <v>20</v>
      </c>
      <c r="AB89" s="102"/>
    </row>
    <row r="90" spans="1:28" s="50" customFormat="1" ht="15" x14ac:dyDescent="0.25">
      <c r="B90" s="139" t="s">
        <v>324</v>
      </c>
      <c r="C90" s="103"/>
      <c r="D90" s="103"/>
      <c r="E90" s="103"/>
      <c r="F90" s="103"/>
      <c r="G90" s="103"/>
      <c r="I90" s="214">
        <v>3261267911.1111112</v>
      </c>
      <c r="J90" s="214">
        <v>3065591836.4444442</v>
      </c>
      <c r="K90" s="214">
        <v>2881656326.2577777</v>
      </c>
      <c r="L90" s="214">
        <v>2708756946.6823111</v>
      </c>
      <c r="M90" s="214">
        <v>2546231529.881372</v>
      </c>
      <c r="N90" s="214">
        <v>2393457638.0884895</v>
      </c>
      <c r="O90" s="214">
        <v>2249850179.8031807</v>
      </c>
      <c r="P90" s="214">
        <v>2114859169.0149899</v>
      </c>
      <c r="Q90" s="214">
        <v>1987967618.8740902</v>
      </c>
      <c r="R90" s="214">
        <v>1868689561.7416451</v>
      </c>
      <c r="S90" s="214">
        <v>1756568188.0371463</v>
      </c>
      <c r="T90" s="214">
        <v>1651174096.7549176</v>
      </c>
      <c r="U90" s="214">
        <v>1552103650.9496226</v>
      </c>
      <c r="V90" s="214">
        <v>1458977431.8926454</v>
      </c>
      <c r="W90" s="214">
        <v>1371438785.9790864</v>
      </c>
      <c r="X90" s="214">
        <v>1289152458.8203416</v>
      </c>
      <c r="Y90" s="214">
        <v>1211803311.291121</v>
      </c>
      <c r="Z90" s="214">
        <v>1139095112.6136537</v>
      </c>
      <c r="AA90" s="214">
        <v>1070749405.8568345</v>
      </c>
      <c r="AB90" s="102"/>
    </row>
    <row r="91" spans="1:28" s="103" customFormat="1" ht="15" x14ac:dyDescent="0.25">
      <c r="B91" s="139" t="s">
        <v>323</v>
      </c>
      <c r="I91" s="213">
        <f t="shared" ref="I91:AA91" si="13">I90+$H$87</f>
        <v>5580556377.1111107</v>
      </c>
      <c r="J91" s="213">
        <f t="shared" si="13"/>
        <v>5384880302.4444447</v>
      </c>
      <c r="K91" s="213">
        <f t="shared" si="13"/>
        <v>5200944792.2577782</v>
      </c>
      <c r="L91" s="213">
        <f t="shared" si="13"/>
        <v>5028045412.6823111</v>
      </c>
      <c r="M91" s="213">
        <f t="shared" si="13"/>
        <v>4865519995.8813725</v>
      </c>
      <c r="N91" s="213">
        <f t="shared" si="13"/>
        <v>4712746104.0884895</v>
      </c>
      <c r="O91" s="213">
        <f t="shared" si="13"/>
        <v>4569138645.8031807</v>
      </c>
      <c r="P91" s="213">
        <f t="shared" si="13"/>
        <v>4434147635.0149899</v>
      </c>
      <c r="Q91" s="213">
        <f t="shared" si="13"/>
        <v>4307256084.8740902</v>
      </c>
      <c r="R91" s="213">
        <f t="shared" si="13"/>
        <v>4187978027.7416449</v>
      </c>
      <c r="S91" s="213">
        <f t="shared" si="13"/>
        <v>4075856654.0371466</v>
      </c>
      <c r="T91" s="213">
        <f t="shared" si="13"/>
        <v>3970462562.7549176</v>
      </c>
      <c r="U91" s="213">
        <f t="shared" si="13"/>
        <v>3871392116.9496226</v>
      </c>
      <c r="V91" s="213">
        <f t="shared" si="13"/>
        <v>3778265897.8926454</v>
      </c>
      <c r="W91" s="213">
        <f t="shared" si="13"/>
        <v>3690727251.9790864</v>
      </c>
      <c r="X91" s="213">
        <f t="shared" si="13"/>
        <v>3608440924.8203416</v>
      </c>
      <c r="Y91" s="213">
        <f t="shared" si="13"/>
        <v>3531091777.291121</v>
      </c>
      <c r="Z91" s="213">
        <f t="shared" si="13"/>
        <v>3458383578.6136537</v>
      </c>
      <c r="AA91" s="213">
        <f t="shared" si="13"/>
        <v>3390037871.8568344</v>
      </c>
      <c r="AB91" s="102"/>
    </row>
    <row r="92" spans="1:28" s="136" customFormat="1" x14ac:dyDescent="0.2">
      <c r="B92" s="210"/>
      <c r="H92" s="211"/>
      <c r="I92" s="211"/>
      <c r="J92" s="211"/>
      <c r="K92" s="211"/>
      <c r="L92" s="211"/>
      <c r="M92" s="211"/>
      <c r="N92" s="211"/>
      <c r="O92" s="211"/>
      <c r="P92" s="211"/>
      <c r="Q92" s="211"/>
      <c r="R92" s="211"/>
      <c r="S92" s="211"/>
      <c r="T92" s="211"/>
      <c r="U92" s="211"/>
      <c r="V92" s="211"/>
      <c r="W92" s="211"/>
      <c r="X92" s="211"/>
      <c r="Y92" s="211"/>
      <c r="Z92" s="211"/>
      <c r="AA92" s="211"/>
      <c r="AB92" s="107"/>
    </row>
    <row r="93" spans="1:28" ht="266.45" customHeight="1" x14ac:dyDescent="0.2">
      <c r="A93" s="107"/>
      <c r="B93" s="338" t="s">
        <v>432</v>
      </c>
      <c r="C93" s="103"/>
      <c r="D93" s="103"/>
      <c r="E93" s="103"/>
      <c r="F93" s="78"/>
      <c r="G93" s="78"/>
      <c r="H93" s="138"/>
      <c r="I93" s="53"/>
      <c r="J93" s="53"/>
      <c r="K93" s="53"/>
      <c r="L93" s="53"/>
      <c r="M93" s="53"/>
      <c r="N93" s="53"/>
      <c r="O93" s="53"/>
      <c r="P93" s="53"/>
      <c r="Q93" s="53"/>
      <c r="R93" s="53"/>
      <c r="S93" s="53"/>
      <c r="T93" s="53"/>
      <c r="U93" s="53"/>
      <c r="V93" s="53"/>
      <c r="W93" s="53"/>
      <c r="X93" s="53"/>
      <c r="Y93" s="53"/>
      <c r="Z93" s="53"/>
      <c r="AA93" s="53"/>
    </row>
    <row r="95" spans="1:28" s="103" customFormat="1" ht="14.45" customHeight="1" x14ac:dyDescent="0.25">
      <c r="A95" s="92"/>
      <c r="B95" s="717" t="str">
        <f>B11</f>
        <v>6.4. Promoción de la generación del empleo formal y la mejora de las condiciones laborales a lo largo de la cadena.</v>
      </c>
      <c r="C95" s="718"/>
      <c r="D95" s="718"/>
      <c r="E95" s="718"/>
      <c r="F95" s="718"/>
      <c r="G95" s="718"/>
      <c r="H95" s="718"/>
    </row>
    <row r="96" spans="1:28" hidden="1" x14ac:dyDescent="0.2">
      <c r="B96" s="110"/>
      <c r="C96" s="110"/>
      <c r="D96" s="110"/>
      <c r="E96" s="110"/>
      <c r="F96" s="110"/>
      <c r="G96" s="110"/>
      <c r="H96" s="110"/>
    </row>
    <row r="97" spans="1:10" ht="15" x14ac:dyDescent="0.25">
      <c r="B97" s="79" t="s">
        <v>79</v>
      </c>
      <c r="C97" s="79" t="s">
        <v>59</v>
      </c>
      <c r="D97" s="79" t="s">
        <v>56</v>
      </c>
      <c r="E97" s="79" t="s">
        <v>55</v>
      </c>
      <c r="F97" s="79" t="s">
        <v>80</v>
      </c>
      <c r="G97" s="79" t="s">
        <v>81</v>
      </c>
      <c r="H97" s="79" t="s">
        <v>82</v>
      </c>
    </row>
    <row r="98" spans="1:10" x14ac:dyDescent="0.2">
      <c r="B98" s="124" t="s">
        <v>83</v>
      </c>
      <c r="C98" s="124">
        <v>12</v>
      </c>
      <c r="D98" s="124" t="s">
        <v>84</v>
      </c>
      <c r="E98" s="51">
        <v>500000</v>
      </c>
      <c r="F98" s="124"/>
      <c r="G98" s="124"/>
      <c r="H98" s="51">
        <f t="shared" ref="H98:H105" si="14">C98*E98</f>
        <v>6000000</v>
      </c>
      <c r="I98" s="44"/>
      <c r="J98" s="53"/>
    </row>
    <row r="99" spans="1:10" s="103" customFormat="1" x14ac:dyDescent="0.2">
      <c r="A99" s="93"/>
      <c r="B99" s="124" t="s">
        <v>85</v>
      </c>
      <c r="C99" s="124">
        <v>12</v>
      </c>
      <c r="D99" s="124" t="s">
        <v>84</v>
      </c>
      <c r="E99" s="51">
        <v>100000</v>
      </c>
      <c r="F99" s="124"/>
      <c r="G99" s="124"/>
      <c r="H99" s="51">
        <f t="shared" si="14"/>
        <v>1200000</v>
      </c>
      <c r="I99" s="44"/>
      <c r="J99" s="138"/>
    </row>
    <row r="100" spans="1:10" s="103" customFormat="1" x14ac:dyDescent="0.2">
      <c r="B100" s="124" t="s">
        <v>102</v>
      </c>
      <c r="C100" s="124">
        <v>15</v>
      </c>
      <c r="D100" s="124" t="s">
        <v>84</v>
      </c>
      <c r="E100" s="51">
        <v>2300000</v>
      </c>
      <c r="F100" s="124"/>
      <c r="G100" s="124"/>
      <c r="H100" s="51">
        <f t="shared" si="14"/>
        <v>34500000</v>
      </c>
      <c r="I100" s="44"/>
      <c r="J100" s="138"/>
    </row>
    <row r="101" spans="1:10" s="103" customFormat="1" x14ac:dyDescent="0.2">
      <c r="B101" s="124" t="s">
        <v>162</v>
      </c>
      <c r="C101" s="124">
        <v>15</v>
      </c>
      <c r="D101" s="124" t="s">
        <v>84</v>
      </c>
      <c r="E101" s="51">
        <v>460000</v>
      </c>
      <c r="F101" s="124"/>
      <c r="G101" s="124"/>
      <c r="H101" s="51">
        <f t="shared" si="14"/>
        <v>6900000</v>
      </c>
      <c r="I101" s="44"/>
      <c r="J101" s="138"/>
    </row>
    <row r="102" spans="1:10" x14ac:dyDescent="0.2">
      <c r="B102" s="124" t="s">
        <v>115</v>
      </c>
      <c r="C102" s="124">
        <v>7</v>
      </c>
      <c r="D102" s="124" t="s">
        <v>84</v>
      </c>
      <c r="E102" s="51">
        <v>142800000</v>
      </c>
      <c r="F102" s="124"/>
      <c r="G102" s="124"/>
      <c r="H102" s="51">
        <f t="shared" si="14"/>
        <v>999600000</v>
      </c>
      <c r="I102" s="101"/>
      <c r="J102" s="138"/>
    </row>
    <row r="103" spans="1:10" x14ac:dyDescent="0.2">
      <c r="B103" s="124" t="s">
        <v>189</v>
      </c>
      <c r="C103" s="124">
        <v>7</v>
      </c>
      <c r="D103" s="124" t="s">
        <v>84</v>
      </c>
      <c r="E103" s="51">
        <v>7000000</v>
      </c>
      <c r="F103" s="124"/>
      <c r="G103" s="124"/>
      <c r="H103" s="51">
        <f t="shared" si="14"/>
        <v>49000000</v>
      </c>
      <c r="I103" s="101"/>
      <c r="J103" s="138"/>
    </row>
    <row r="104" spans="1:10" x14ac:dyDescent="0.2">
      <c r="B104" s="120" t="s">
        <v>87</v>
      </c>
      <c r="C104" s="120">
        <v>15</v>
      </c>
      <c r="D104" s="104" t="s">
        <v>76</v>
      </c>
      <c r="E104" s="45">
        <v>6000000</v>
      </c>
      <c r="F104" s="98"/>
      <c r="G104" s="104"/>
      <c r="H104" s="82">
        <f t="shared" si="14"/>
        <v>90000000</v>
      </c>
      <c r="I104" s="101"/>
      <c r="J104" s="138"/>
    </row>
    <row r="105" spans="1:10" x14ac:dyDescent="0.2">
      <c r="B105" s="121" t="s">
        <v>88</v>
      </c>
      <c r="C105" s="121">
        <v>15</v>
      </c>
      <c r="D105" s="104" t="s">
        <v>76</v>
      </c>
      <c r="E105" s="45">
        <v>1800000</v>
      </c>
      <c r="F105" s="98"/>
      <c r="G105" s="104"/>
      <c r="H105" s="82">
        <f t="shared" si="14"/>
        <v>27000000</v>
      </c>
      <c r="I105" s="101"/>
      <c r="J105" s="138"/>
    </row>
    <row r="106" spans="1:10" x14ac:dyDescent="0.2">
      <c r="B106" s="120" t="s">
        <v>178</v>
      </c>
      <c r="C106" s="121">
        <v>15</v>
      </c>
      <c r="D106" s="104" t="s">
        <v>158</v>
      </c>
      <c r="E106" s="45">
        <v>1500000</v>
      </c>
      <c r="F106" s="98"/>
      <c r="G106" s="104"/>
      <c r="H106" s="82">
        <f>C105*E105</f>
        <v>27000000</v>
      </c>
      <c r="I106" s="101"/>
      <c r="J106" s="138"/>
    </row>
    <row r="107" spans="1:10" s="103" customFormat="1" x14ac:dyDescent="0.2">
      <c r="A107" s="93"/>
      <c r="B107" s="120" t="s">
        <v>190</v>
      </c>
      <c r="C107" s="120">
        <v>15</v>
      </c>
      <c r="D107" s="104" t="s">
        <v>158</v>
      </c>
      <c r="E107" s="45">
        <v>450000</v>
      </c>
      <c r="F107" s="98"/>
      <c r="G107" s="104"/>
      <c r="H107" s="82">
        <f>C107*E107</f>
        <v>6750000</v>
      </c>
      <c r="I107" s="84"/>
      <c r="J107" s="138"/>
    </row>
    <row r="108" spans="1:10" x14ac:dyDescent="0.2">
      <c r="B108" s="125" t="s">
        <v>205</v>
      </c>
      <c r="C108" s="126">
        <f>7*10</f>
        <v>70</v>
      </c>
      <c r="D108" s="126" t="s">
        <v>84</v>
      </c>
      <c r="E108" s="127">
        <v>1610000</v>
      </c>
      <c r="F108" s="126"/>
      <c r="G108" s="126"/>
      <c r="H108" s="127">
        <f>C108*E108</f>
        <v>112700000</v>
      </c>
      <c r="I108" s="101"/>
      <c r="J108" s="138"/>
    </row>
    <row r="109" spans="1:10" x14ac:dyDescent="0.2">
      <c r="B109" s="124" t="s">
        <v>206</v>
      </c>
      <c r="C109" s="124">
        <f>7*10</f>
        <v>70</v>
      </c>
      <c r="D109" s="124" t="s">
        <v>84</v>
      </c>
      <c r="E109" s="51">
        <v>8954882.5200000014</v>
      </c>
      <c r="F109" s="124"/>
      <c r="G109" s="124"/>
      <c r="H109" s="51">
        <f>C109*E109</f>
        <v>626841776.4000001</v>
      </c>
      <c r="I109" s="101"/>
      <c r="J109" s="138"/>
    </row>
    <row r="110" spans="1:10" x14ac:dyDescent="0.2">
      <c r="B110" s="124" t="s">
        <v>230</v>
      </c>
      <c r="C110" s="124">
        <v>2</v>
      </c>
      <c r="D110" s="124" t="s">
        <v>84</v>
      </c>
      <c r="E110" s="51">
        <v>7862772</v>
      </c>
      <c r="F110" s="128"/>
      <c r="G110" s="124">
        <v>10</v>
      </c>
      <c r="H110" s="129">
        <f>C110*E110*G110</f>
        <v>157255440</v>
      </c>
      <c r="I110" s="101"/>
      <c r="J110" s="138"/>
    </row>
    <row r="111" spans="1:10" x14ac:dyDescent="0.2">
      <c r="B111" s="104" t="s">
        <v>173</v>
      </c>
      <c r="C111" s="104">
        <v>7</v>
      </c>
      <c r="D111" s="104" t="s">
        <v>195</v>
      </c>
      <c r="E111" s="45">
        <v>3145107</v>
      </c>
      <c r="F111" s="98"/>
      <c r="G111" s="104">
        <v>10</v>
      </c>
      <c r="H111" s="129">
        <f t="shared" ref="H111:H113" si="15">C111*E111*G111</f>
        <v>220157490</v>
      </c>
      <c r="I111" s="44"/>
      <c r="J111" s="53"/>
    </row>
    <row r="112" spans="1:10" x14ac:dyDescent="0.2">
      <c r="B112" s="104" t="s">
        <v>57</v>
      </c>
      <c r="C112" s="104">
        <v>7</v>
      </c>
      <c r="D112" s="104" t="s">
        <v>160</v>
      </c>
      <c r="E112" s="45">
        <v>1300000</v>
      </c>
      <c r="F112" s="98"/>
      <c r="G112" s="104">
        <v>10</v>
      </c>
      <c r="H112" s="129">
        <f t="shared" si="15"/>
        <v>91000000</v>
      </c>
      <c r="I112" s="44"/>
      <c r="J112" s="53"/>
    </row>
    <row r="113" spans="1:10" x14ac:dyDescent="0.2">
      <c r="B113" s="104" t="s">
        <v>194</v>
      </c>
      <c r="C113" s="104">
        <v>7</v>
      </c>
      <c r="D113" s="104" t="s">
        <v>196</v>
      </c>
      <c r="E113" s="45">
        <v>155000</v>
      </c>
      <c r="F113" s="98"/>
      <c r="G113" s="104">
        <v>10</v>
      </c>
      <c r="H113" s="129">
        <f t="shared" si="15"/>
        <v>10850000</v>
      </c>
      <c r="I113" s="44"/>
      <c r="J113" s="53"/>
    </row>
    <row r="114" spans="1:10" x14ac:dyDescent="0.2">
      <c r="B114" s="130" t="s">
        <v>187</v>
      </c>
      <c r="C114" s="130"/>
      <c r="D114" s="130"/>
      <c r="E114" s="52"/>
      <c r="F114" s="130"/>
      <c r="G114" s="130"/>
      <c r="H114" s="51" t="s">
        <v>78</v>
      </c>
      <c r="I114" s="44"/>
      <c r="J114" s="53"/>
    </row>
    <row r="115" spans="1:10" ht="15" x14ac:dyDescent="0.25">
      <c r="B115" s="86" t="s">
        <v>96</v>
      </c>
      <c r="C115" s="87"/>
      <c r="D115" s="87"/>
      <c r="E115" s="88"/>
      <c r="F115" s="88"/>
      <c r="G115" s="87"/>
      <c r="H115" s="99">
        <f>SUM(H98:H114)</f>
        <v>2466754706.4000001</v>
      </c>
      <c r="I115" s="99">
        <f>H115/12</f>
        <v>205562892.20000002</v>
      </c>
    </row>
    <row r="116" spans="1:10" s="103" customFormat="1" ht="260.45" hidden="1" customHeight="1" x14ac:dyDescent="0.2">
      <c r="B116" s="100" t="s">
        <v>97</v>
      </c>
      <c r="C116" s="110"/>
      <c r="D116" s="110"/>
      <c r="E116" s="110"/>
      <c r="F116" s="110"/>
      <c r="G116" s="110"/>
      <c r="H116" s="110"/>
      <c r="J116" s="102"/>
    </row>
    <row r="117" spans="1:10" ht="235.5" customHeight="1" x14ac:dyDescent="0.2">
      <c r="B117" s="337" t="s">
        <v>433</v>
      </c>
      <c r="C117" s="103"/>
      <c r="D117" s="103"/>
      <c r="E117" s="103"/>
      <c r="F117" s="78"/>
      <c r="G117" s="78"/>
      <c r="H117" s="103"/>
    </row>
    <row r="118" spans="1:10" x14ac:dyDescent="0.2">
      <c r="B118" s="212"/>
      <c r="C118" s="103"/>
      <c r="D118" s="103"/>
      <c r="E118" s="103"/>
      <c r="F118" s="78"/>
      <c r="G118" s="78"/>
      <c r="H118" s="103"/>
    </row>
    <row r="119" spans="1:10" x14ac:dyDescent="0.2">
      <c r="B119" s="212"/>
      <c r="C119" s="103"/>
      <c r="D119" s="103"/>
      <c r="E119" s="103"/>
      <c r="F119" s="78"/>
      <c r="G119" s="78"/>
      <c r="H119" s="103"/>
    </row>
    <row r="120" spans="1:10" s="103" customFormat="1" ht="14.45" customHeight="1" x14ac:dyDescent="0.25">
      <c r="A120" s="92"/>
      <c r="B120" s="717" t="str">
        <f>B12</f>
        <v>6.5. Contribución a la mejora de condiciones de conectividad vial y de servicios públicos, en las regiones maiceras.</v>
      </c>
      <c r="C120" s="718"/>
      <c r="D120" s="718"/>
      <c r="E120" s="718"/>
      <c r="F120" s="718"/>
      <c r="G120" s="718"/>
      <c r="H120" s="718"/>
    </row>
    <row r="121" spans="1:10" hidden="1" x14ac:dyDescent="0.2">
      <c r="B121" s="220"/>
      <c r="C121" s="220"/>
      <c r="D121" s="220"/>
      <c r="E121" s="220"/>
      <c r="F121" s="220"/>
      <c r="G121" s="220"/>
      <c r="H121" s="220"/>
    </row>
    <row r="122" spans="1:10" ht="15" x14ac:dyDescent="0.25">
      <c r="B122" s="79" t="s">
        <v>79</v>
      </c>
      <c r="C122" s="79" t="s">
        <v>59</v>
      </c>
      <c r="D122" s="79" t="s">
        <v>56</v>
      </c>
      <c r="E122" s="79" t="s">
        <v>55</v>
      </c>
      <c r="F122" s="79" t="s">
        <v>80</v>
      </c>
      <c r="G122" s="79" t="s">
        <v>81</v>
      </c>
      <c r="H122" s="79" t="s">
        <v>82</v>
      </c>
    </row>
    <row r="123" spans="1:10" x14ac:dyDescent="0.2">
      <c r="B123" s="124" t="s">
        <v>83</v>
      </c>
      <c r="C123" s="124">
        <v>12</v>
      </c>
      <c r="D123" s="124" t="s">
        <v>84</v>
      </c>
      <c r="E123" s="51">
        <v>500000</v>
      </c>
      <c r="F123" s="124"/>
      <c r="G123" s="124"/>
      <c r="H123" s="51">
        <f t="shared" ref="H123:H126" si="16">C123*E123</f>
        <v>6000000</v>
      </c>
      <c r="I123" s="44"/>
      <c r="J123" s="53"/>
    </row>
    <row r="124" spans="1:10" s="103" customFormat="1" x14ac:dyDescent="0.2">
      <c r="A124" s="93"/>
      <c r="B124" s="124" t="s">
        <v>85</v>
      </c>
      <c r="C124" s="124">
        <v>12</v>
      </c>
      <c r="D124" s="124" t="s">
        <v>84</v>
      </c>
      <c r="E124" s="51">
        <v>100000</v>
      </c>
      <c r="F124" s="124"/>
      <c r="G124" s="124"/>
      <c r="H124" s="51">
        <f t="shared" si="16"/>
        <v>1200000</v>
      </c>
      <c r="I124" s="44"/>
      <c r="J124" s="138"/>
    </row>
    <row r="125" spans="1:10" s="103" customFormat="1" x14ac:dyDescent="0.2">
      <c r="B125" s="124" t="s">
        <v>102</v>
      </c>
      <c r="C125" s="124">
        <f>7*2</f>
        <v>14</v>
      </c>
      <c r="D125" s="124" t="s">
        <v>84</v>
      </c>
      <c r="E125" s="51">
        <v>2300000</v>
      </c>
      <c r="F125" s="124"/>
      <c r="G125" s="124"/>
      <c r="H125" s="51">
        <f t="shared" si="16"/>
        <v>32200000</v>
      </c>
      <c r="I125" s="44"/>
      <c r="J125" s="138"/>
    </row>
    <row r="126" spans="1:10" s="103" customFormat="1" x14ac:dyDescent="0.2">
      <c r="B126" s="124" t="s">
        <v>162</v>
      </c>
      <c r="C126" s="124">
        <f>7*2</f>
        <v>14</v>
      </c>
      <c r="D126" s="124" t="s">
        <v>84</v>
      </c>
      <c r="E126" s="51">
        <v>460000</v>
      </c>
      <c r="F126" s="124"/>
      <c r="G126" s="124"/>
      <c r="H126" s="51">
        <f t="shared" si="16"/>
        <v>6440000</v>
      </c>
      <c r="I126" s="44"/>
      <c r="J126" s="138"/>
    </row>
    <row r="127" spans="1:10" s="103" customFormat="1" x14ac:dyDescent="0.2">
      <c r="B127" s="124" t="s">
        <v>434</v>
      </c>
      <c r="C127" s="124">
        <v>1</v>
      </c>
      <c r="D127" s="124" t="s">
        <v>84</v>
      </c>
      <c r="E127" s="51">
        <v>10850628</v>
      </c>
      <c r="F127" s="124"/>
      <c r="G127" s="124">
        <v>5</v>
      </c>
      <c r="H127" s="51">
        <f>C127*E127*G127</f>
        <v>54253140</v>
      </c>
      <c r="I127" s="44"/>
      <c r="J127" s="138"/>
    </row>
    <row r="128" spans="1:10" s="103" customFormat="1" x14ac:dyDescent="0.2">
      <c r="B128" s="124" t="s">
        <v>346</v>
      </c>
      <c r="C128" s="124">
        <v>7</v>
      </c>
      <c r="D128" s="124" t="s">
        <v>84</v>
      </c>
      <c r="E128" s="51">
        <v>2774088</v>
      </c>
      <c r="F128" s="124"/>
      <c r="G128" s="124"/>
      <c r="H128" s="51">
        <f>C128*E128</f>
        <v>19418616</v>
      </c>
      <c r="I128" s="44"/>
      <c r="J128" s="138"/>
    </row>
    <row r="129" spans="2:10" x14ac:dyDescent="0.2">
      <c r="B129" s="124" t="s">
        <v>90</v>
      </c>
      <c r="C129" s="124">
        <v>2</v>
      </c>
      <c r="D129" s="124" t="s">
        <v>84</v>
      </c>
      <c r="E129" s="51">
        <v>7862772</v>
      </c>
      <c r="F129" s="128"/>
      <c r="G129" s="124">
        <v>10</v>
      </c>
      <c r="H129" s="129">
        <f>C129*E129*G129</f>
        <v>157255440</v>
      </c>
      <c r="I129" s="101"/>
      <c r="J129" s="138"/>
    </row>
    <row r="130" spans="2:10" x14ac:dyDescent="0.2">
      <c r="B130" s="104" t="s">
        <v>173</v>
      </c>
      <c r="C130" s="104">
        <v>7</v>
      </c>
      <c r="D130" s="104" t="s">
        <v>195</v>
      </c>
      <c r="E130" s="45">
        <v>3145107</v>
      </c>
      <c r="F130" s="98"/>
      <c r="G130" s="104">
        <v>10</v>
      </c>
      <c r="H130" s="129">
        <f t="shared" ref="H130:H132" si="17">C130*E130*G130</f>
        <v>220157490</v>
      </c>
      <c r="I130" s="44"/>
      <c r="J130" s="53"/>
    </row>
    <row r="131" spans="2:10" x14ac:dyDescent="0.2">
      <c r="B131" s="104" t="s">
        <v>57</v>
      </c>
      <c r="C131" s="104">
        <v>7</v>
      </c>
      <c r="D131" s="104" t="s">
        <v>160</v>
      </c>
      <c r="E131" s="45">
        <v>1300000</v>
      </c>
      <c r="F131" s="98"/>
      <c r="G131" s="104">
        <v>10</v>
      </c>
      <c r="H131" s="129">
        <f t="shared" si="17"/>
        <v>91000000</v>
      </c>
      <c r="I131" s="44"/>
      <c r="J131" s="53"/>
    </row>
    <row r="132" spans="2:10" x14ac:dyDescent="0.2">
      <c r="B132" s="104" t="s">
        <v>194</v>
      </c>
      <c r="C132" s="104">
        <v>7</v>
      </c>
      <c r="D132" s="104" t="s">
        <v>196</v>
      </c>
      <c r="E132" s="45">
        <v>155000</v>
      </c>
      <c r="F132" s="98"/>
      <c r="G132" s="104">
        <v>10</v>
      </c>
      <c r="H132" s="129">
        <f t="shared" si="17"/>
        <v>10850000</v>
      </c>
      <c r="I132" s="44"/>
      <c r="J132" s="53"/>
    </row>
    <row r="133" spans="2:10" x14ac:dyDescent="0.2">
      <c r="B133" s="130" t="s">
        <v>193</v>
      </c>
      <c r="C133" s="130"/>
      <c r="D133" s="130"/>
      <c r="E133" s="52"/>
      <c r="F133" s="130"/>
      <c r="G133" s="130"/>
      <c r="H133" s="51" t="s">
        <v>78</v>
      </c>
      <c r="I133" s="44"/>
      <c r="J133" s="53"/>
    </row>
    <row r="134" spans="2:10" ht="15" x14ac:dyDescent="0.25">
      <c r="B134" s="86" t="s">
        <v>96</v>
      </c>
      <c r="C134" s="87"/>
      <c r="D134" s="87"/>
      <c r="E134" s="88"/>
      <c r="F134" s="88"/>
      <c r="G134" s="87"/>
      <c r="H134" s="99">
        <f>SUM(H123:H133)</f>
        <v>598774686</v>
      </c>
      <c r="I134" s="99">
        <f>H134/12</f>
        <v>49897890.5</v>
      </c>
      <c r="J134" s="53"/>
    </row>
    <row r="135" spans="2:10" s="103" customFormat="1" ht="260.45" hidden="1" customHeight="1" x14ac:dyDescent="0.25">
      <c r="B135" s="100" t="s">
        <v>97</v>
      </c>
      <c r="C135" s="220"/>
      <c r="D135" s="220"/>
      <c r="E135" s="220"/>
      <c r="F135" s="220"/>
      <c r="G135" s="220"/>
      <c r="H135" s="99">
        <f>SUM(H124:H134)</f>
        <v>1191549372</v>
      </c>
      <c r="J135" s="102"/>
    </row>
    <row r="136" spans="2:10" ht="231" customHeight="1" x14ac:dyDescent="0.2">
      <c r="B136" s="132" t="s">
        <v>435</v>
      </c>
      <c r="C136" s="103"/>
      <c r="D136" s="103"/>
      <c r="E136" s="103"/>
      <c r="F136" s="78"/>
    </row>
  </sheetData>
  <sheetProtection algorithmName="SHA-512" hashValue="wKo17CCGkwXxHi7Fb86KN4BJSQtBCBiIiZ16oDS1tdJEyltWxpgRTfiV4mbTIg9by+LT3RClGARgkHqq+Wqt2g==" saltValue="5dG77DQY11k1kDHf6hKAIw==" spinCount="100000" sheet="1" objects="1" scenarios="1"/>
  <mergeCells count="6">
    <mergeCell ref="B120:H120"/>
    <mergeCell ref="B16:H17"/>
    <mergeCell ref="B43:H43"/>
    <mergeCell ref="B64:H64"/>
    <mergeCell ref="D63:H63"/>
    <mergeCell ref="B95:H9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3"/>
  <sheetViews>
    <sheetView showGridLines="0" topLeftCell="A4" zoomScale="60" zoomScaleNormal="60" workbookViewId="0">
      <selection activeCell="B10" sqref="B10"/>
    </sheetView>
  </sheetViews>
  <sheetFormatPr baseColWidth="10" defaultColWidth="10.7109375" defaultRowHeight="14.25" x14ac:dyDescent="0.2"/>
  <cols>
    <col min="1" max="1" width="13.42578125" style="102" customWidth="1"/>
    <col min="2" max="2" width="67.42578125" style="102" customWidth="1"/>
    <col min="3" max="3" width="26.42578125" style="102" customWidth="1"/>
    <col min="4" max="4" width="27.140625" style="102" customWidth="1"/>
    <col min="5" max="5" width="22.42578125" style="102" customWidth="1"/>
    <col min="6" max="7" width="19.7109375" style="102" bestFit="1" customWidth="1"/>
    <col min="8" max="8" width="21.42578125" style="102" customWidth="1"/>
    <col min="9" max="11" width="19.7109375" style="102" bestFit="1" customWidth="1"/>
    <col min="12" max="12" width="20.42578125" style="102" bestFit="1" customWidth="1"/>
    <col min="13" max="22" width="19.7109375" style="102" bestFit="1" customWidth="1"/>
    <col min="23" max="23" width="20.42578125" style="102" bestFit="1" customWidth="1"/>
    <col min="24" max="24" width="25.42578125" style="102" customWidth="1"/>
    <col min="25" max="25" width="22.2851562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str">
        <f>'PPP_V3_y Costos'!C19</f>
        <v>7. Contribución al ordenamiento productivo y social de la propiedad.</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 t="shared" ref="E7" si="0">SUM(E8:E9)</f>
        <v>714210270.5</v>
      </c>
      <c r="F7" s="66">
        <f>SUM(F8:F9)</f>
        <v>2856841082</v>
      </c>
      <c r="G7" s="66">
        <f t="shared" ref="G7:X7" si="1">SUM(G8:G9)</f>
        <v>2856841082</v>
      </c>
      <c r="H7" s="66">
        <f t="shared" si="1"/>
        <v>2856841082</v>
      </c>
      <c r="I7" s="66">
        <f t="shared" si="1"/>
        <v>2856841082</v>
      </c>
      <c r="J7" s="66">
        <f t="shared" si="1"/>
        <v>2673166650</v>
      </c>
      <c r="K7" s="66">
        <f t="shared" si="1"/>
        <v>2673166650</v>
      </c>
      <c r="L7" s="66">
        <f t="shared" si="1"/>
        <v>2673166650</v>
      </c>
      <c r="M7" s="66">
        <f t="shared" si="1"/>
        <v>2673166650</v>
      </c>
      <c r="N7" s="66">
        <f t="shared" si="1"/>
        <v>2673166650</v>
      </c>
      <c r="O7" s="66">
        <f t="shared" si="1"/>
        <v>2673166650</v>
      </c>
      <c r="P7" s="66">
        <f t="shared" si="1"/>
        <v>2673166650</v>
      </c>
      <c r="Q7" s="66">
        <f t="shared" si="1"/>
        <v>2673166650</v>
      </c>
      <c r="R7" s="66">
        <f t="shared" si="1"/>
        <v>2673166650</v>
      </c>
      <c r="S7" s="66">
        <f t="shared" si="1"/>
        <v>2673166650</v>
      </c>
      <c r="T7" s="66">
        <f t="shared" si="1"/>
        <v>2673166650</v>
      </c>
      <c r="U7" s="66">
        <f t="shared" si="1"/>
        <v>2673166650</v>
      </c>
      <c r="V7" s="66">
        <f t="shared" si="1"/>
        <v>2673166650</v>
      </c>
      <c r="W7" s="66">
        <f t="shared" si="1"/>
        <v>2673166650</v>
      </c>
      <c r="X7" s="66">
        <f t="shared" si="1"/>
        <v>2673166650</v>
      </c>
      <c r="Y7" s="66">
        <f>SUM(E7:X7)</f>
        <v>52239074348.5</v>
      </c>
    </row>
    <row r="8" spans="1:26" s="71" customFormat="1" ht="60" customHeight="1" x14ac:dyDescent="0.2">
      <c r="A8" s="68"/>
      <c r="B8" s="69" t="str">
        <f>'PPP_V3_y Costos'!D19</f>
        <v>7.1. Articulación con las políticas de ordenamiento productivo y social de la propiedad rural para el cultivo de maíz.</v>
      </c>
      <c r="C8" s="114" t="s">
        <v>235</v>
      </c>
      <c r="D8" s="134" t="s">
        <v>201</v>
      </c>
      <c r="E8" s="70">
        <f>I32*3</f>
        <v>184975747.5</v>
      </c>
      <c r="F8" s="70">
        <f>H32</f>
        <v>739902990</v>
      </c>
      <c r="G8" s="70">
        <f>H32</f>
        <v>739902990</v>
      </c>
      <c r="H8" s="70">
        <f>H32</f>
        <v>739902990</v>
      </c>
      <c r="I8" s="70">
        <f>H32</f>
        <v>739902990</v>
      </c>
      <c r="J8" s="70">
        <f>H32</f>
        <v>739902990</v>
      </c>
      <c r="K8" s="70">
        <f>H32</f>
        <v>739902990</v>
      </c>
      <c r="L8" s="70">
        <f t="shared" ref="L8:X8" si="2">K8</f>
        <v>739902990</v>
      </c>
      <c r="M8" s="70">
        <f t="shared" si="2"/>
        <v>739902990</v>
      </c>
      <c r="N8" s="70">
        <f t="shared" si="2"/>
        <v>739902990</v>
      </c>
      <c r="O8" s="70">
        <f t="shared" si="2"/>
        <v>739902990</v>
      </c>
      <c r="P8" s="70">
        <f t="shared" si="2"/>
        <v>739902990</v>
      </c>
      <c r="Q8" s="70">
        <f t="shared" si="2"/>
        <v>739902990</v>
      </c>
      <c r="R8" s="70">
        <f t="shared" si="2"/>
        <v>739902990</v>
      </c>
      <c r="S8" s="70">
        <f t="shared" si="2"/>
        <v>739902990</v>
      </c>
      <c r="T8" s="70">
        <f t="shared" si="2"/>
        <v>739902990</v>
      </c>
      <c r="U8" s="70">
        <f t="shared" si="2"/>
        <v>739902990</v>
      </c>
      <c r="V8" s="70">
        <f t="shared" si="2"/>
        <v>739902990</v>
      </c>
      <c r="W8" s="70">
        <f t="shared" si="2"/>
        <v>739902990</v>
      </c>
      <c r="X8" s="70">
        <f t="shared" si="2"/>
        <v>739902990</v>
      </c>
      <c r="Y8" s="70">
        <f>SUM(E8:X8)</f>
        <v>14243132557.5</v>
      </c>
    </row>
    <row r="9" spans="1:26" s="71" customFormat="1" ht="42.95" customHeight="1" x14ac:dyDescent="0.2">
      <c r="A9" s="68"/>
      <c r="B9" s="69" t="str">
        <f>'PPP_V3_y Costos'!D20</f>
        <v xml:space="preserve">7.2  Fortalecimiento en el acceso y la seguridad jurídica de los predios e inversiones para el cultivo de maíz. </v>
      </c>
      <c r="C9" s="114" t="s">
        <v>235</v>
      </c>
      <c r="D9" s="114" t="s">
        <v>201</v>
      </c>
      <c r="E9" s="70">
        <f>I59*3</f>
        <v>529234523</v>
      </c>
      <c r="F9" s="70">
        <f>H59</f>
        <v>2116938092</v>
      </c>
      <c r="G9" s="70">
        <f>F9</f>
        <v>2116938092</v>
      </c>
      <c r="H9" s="70">
        <f>G9</f>
        <v>2116938092</v>
      </c>
      <c r="I9" s="70">
        <f>H9</f>
        <v>2116938092</v>
      </c>
      <c r="J9" s="70">
        <f>H61</f>
        <v>1933263660</v>
      </c>
      <c r="K9" s="70">
        <f>J9</f>
        <v>1933263660</v>
      </c>
      <c r="L9" s="70">
        <f t="shared" ref="L9:X9" si="3">K9</f>
        <v>1933263660</v>
      </c>
      <c r="M9" s="70">
        <f t="shared" si="3"/>
        <v>1933263660</v>
      </c>
      <c r="N9" s="70">
        <f t="shared" si="3"/>
        <v>1933263660</v>
      </c>
      <c r="O9" s="70">
        <f t="shared" si="3"/>
        <v>1933263660</v>
      </c>
      <c r="P9" s="70">
        <f t="shared" si="3"/>
        <v>1933263660</v>
      </c>
      <c r="Q9" s="70">
        <f t="shared" si="3"/>
        <v>1933263660</v>
      </c>
      <c r="R9" s="70">
        <f t="shared" si="3"/>
        <v>1933263660</v>
      </c>
      <c r="S9" s="70">
        <f t="shared" si="3"/>
        <v>1933263660</v>
      </c>
      <c r="T9" s="70">
        <f t="shared" si="3"/>
        <v>1933263660</v>
      </c>
      <c r="U9" s="70">
        <f t="shared" si="3"/>
        <v>1933263660</v>
      </c>
      <c r="V9" s="70">
        <f t="shared" si="3"/>
        <v>1933263660</v>
      </c>
      <c r="W9" s="70">
        <f t="shared" si="3"/>
        <v>1933263660</v>
      </c>
      <c r="X9" s="70">
        <f t="shared" si="3"/>
        <v>1933263660</v>
      </c>
      <c r="Y9" s="70">
        <f>SUM(E9:X9)</f>
        <v>37995941791</v>
      </c>
    </row>
    <row r="10" spans="1:26" s="40" customFormat="1" ht="24.75" customHeight="1" x14ac:dyDescent="0.25">
      <c r="A10" s="102"/>
      <c r="B10" s="64" t="s">
        <v>33</v>
      </c>
      <c r="C10" s="64"/>
      <c r="D10" s="64"/>
      <c r="E10" s="72">
        <f>E8+E9</f>
        <v>714210270.5</v>
      </c>
      <c r="F10" s="72">
        <f t="shared" ref="F10:X10" si="4">F8+F9</f>
        <v>2856841082</v>
      </c>
      <c r="G10" s="72">
        <f t="shared" si="4"/>
        <v>2856841082</v>
      </c>
      <c r="H10" s="72">
        <f t="shared" si="4"/>
        <v>2856841082</v>
      </c>
      <c r="I10" s="72">
        <f t="shared" si="4"/>
        <v>2856841082</v>
      </c>
      <c r="J10" s="72">
        <f t="shared" si="4"/>
        <v>2673166650</v>
      </c>
      <c r="K10" s="72">
        <f t="shared" si="4"/>
        <v>2673166650</v>
      </c>
      <c r="L10" s="72">
        <f t="shared" si="4"/>
        <v>2673166650</v>
      </c>
      <c r="M10" s="72">
        <f t="shared" si="4"/>
        <v>2673166650</v>
      </c>
      <c r="N10" s="72">
        <f t="shared" si="4"/>
        <v>2673166650</v>
      </c>
      <c r="O10" s="72">
        <f t="shared" si="4"/>
        <v>2673166650</v>
      </c>
      <c r="P10" s="72">
        <f t="shared" si="4"/>
        <v>2673166650</v>
      </c>
      <c r="Q10" s="72">
        <f t="shared" si="4"/>
        <v>2673166650</v>
      </c>
      <c r="R10" s="72">
        <f t="shared" si="4"/>
        <v>2673166650</v>
      </c>
      <c r="S10" s="72">
        <f t="shared" si="4"/>
        <v>2673166650</v>
      </c>
      <c r="T10" s="72">
        <f t="shared" si="4"/>
        <v>2673166650</v>
      </c>
      <c r="U10" s="72">
        <f t="shared" si="4"/>
        <v>2673166650</v>
      </c>
      <c r="V10" s="72">
        <f t="shared" si="4"/>
        <v>2673166650</v>
      </c>
      <c r="W10" s="72">
        <f t="shared" si="4"/>
        <v>2673166650</v>
      </c>
      <c r="X10" s="72">
        <f t="shared" si="4"/>
        <v>2673166650</v>
      </c>
      <c r="Y10" s="72">
        <f>Y8+Y9</f>
        <v>52239074348.5</v>
      </c>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17" t="str">
        <f>B8</f>
        <v>7.1. Articulación con las políticas de ordenamiento productivo y social de la propiedad rural para el cultivo de maíz.</v>
      </c>
      <c r="C13" s="718"/>
      <c r="D13" s="718"/>
      <c r="E13" s="718"/>
      <c r="F13" s="718"/>
      <c r="G13" s="718"/>
      <c r="H13" s="718"/>
      <c r="I13" s="113"/>
      <c r="J13" s="123"/>
      <c r="K13" s="123"/>
      <c r="X13" s="78"/>
    </row>
    <row r="14" spans="1:26" s="103" customFormat="1" ht="14.45" customHeight="1" x14ac:dyDescent="0.25">
      <c r="B14" s="719"/>
      <c r="C14" s="719"/>
      <c r="D14" s="719"/>
      <c r="E14" s="719"/>
      <c r="F14" s="719"/>
      <c r="G14" s="719"/>
      <c r="H14" s="719"/>
      <c r="I14" s="113"/>
      <c r="J14" s="123"/>
      <c r="X14" s="78"/>
    </row>
    <row r="15" spans="1:26" ht="15" x14ac:dyDescent="0.25">
      <c r="B15" s="79" t="s">
        <v>79</v>
      </c>
      <c r="C15" s="79" t="s">
        <v>59</v>
      </c>
      <c r="D15" s="79" t="s">
        <v>56</v>
      </c>
      <c r="E15" s="79" t="s">
        <v>55</v>
      </c>
      <c r="F15" s="80" t="s">
        <v>108</v>
      </c>
      <c r="G15" s="79" t="s">
        <v>81</v>
      </c>
      <c r="H15" s="79" t="s">
        <v>82</v>
      </c>
      <c r="I15" s="42"/>
      <c r="X15" s="81"/>
    </row>
    <row r="16" spans="1:26" x14ac:dyDescent="0.2">
      <c r="B16" s="105" t="s">
        <v>83</v>
      </c>
      <c r="C16" s="105">
        <v>12</v>
      </c>
      <c r="D16" s="105" t="s">
        <v>84</v>
      </c>
      <c r="E16" s="82">
        <v>500000</v>
      </c>
      <c r="F16" s="105"/>
      <c r="G16" s="105"/>
      <c r="H16" s="82">
        <f t="shared" ref="H16:H21" si="5">C16*E16</f>
        <v>6000000</v>
      </c>
      <c r="J16" s="53"/>
    </row>
    <row r="17" spans="2:10" x14ac:dyDescent="0.2">
      <c r="B17" s="105" t="s">
        <v>85</v>
      </c>
      <c r="C17" s="105">
        <v>12</v>
      </c>
      <c r="D17" s="105" t="s">
        <v>84</v>
      </c>
      <c r="E17" s="82">
        <v>100000</v>
      </c>
      <c r="F17" s="105"/>
      <c r="G17" s="105"/>
      <c r="H17" s="82">
        <f t="shared" si="5"/>
        <v>1200000</v>
      </c>
      <c r="J17" s="138"/>
    </row>
    <row r="18" spans="2:10" x14ac:dyDescent="0.2">
      <c r="B18" s="105" t="s">
        <v>102</v>
      </c>
      <c r="C18" s="105">
        <v>19</v>
      </c>
      <c r="D18" s="105" t="s">
        <v>84</v>
      </c>
      <c r="E18" s="82">
        <v>2300000</v>
      </c>
      <c r="F18" s="105"/>
      <c r="G18" s="105"/>
      <c r="H18" s="82">
        <f t="shared" si="5"/>
        <v>43700000</v>
      </c>
      <c r="I18" s="101"/>
      <c r="J18" s="138"/>
    </row>
    <row r="19" spans="2:10" x14ac:dyDescent="0.2">
      <c r="B19" s="105" t="s">
        <v>103</v>
      </c>
      <c r="C19" s="105">
        <v>19</v>
      </c>
      <c r="D19" s="105" t="s">
        <v>84</v>
      </c>
      <c r="E19" s="82">
        <v>460000</v>
      </c>
      <c r="F19" s="105"/>
      <c r="G19" s="105"/>
      <c r="H19" s="82">
        <f t="shared" si="5"/>
        <v>8740000</v>
      </c>
      <c r="I19" s="101"/>
      <c r="J19" s="138"/>
    </row>
    <row r="20" spans="2:10" x14ac:dyDescent="0.2">
      <c r="B20" s="105" t="s">
        <v>208</v>
      </c>
      <c r="C20" s="105">
        <v>19</v>
      </c>
      <c r="D20" s="105" t="s">
        <v>84</v>
      </c>
      <c r="E20" s="82">
        <v>3000000</v>
      </c>
      <c r="F20" s="105"/>
      <c r="G20" s="105"/>
      <c r="H20" s="82">
        <f t="shared" si="5"/>
        <v>57000000</v>
      </c>
      <c r="I20" s="101"/>
      <c r="J20" s="138"/>
    </row>
    <row r="21" spans="2:10" x14ac:dyDescent="0.2">
      <c r="B21" s="105" t="s">
        <v>60</v>
      </c>
      <c r="C21" s="105">
        <v>7</v>
      </c>
      <c r="D21" s="105" t="s">
        <v>84</v>
      </c>
      <c r="E21" s="82">
        <v>5000000</v>
      </c>
      <c r="F21" s="105"/>
      <c r="G21" s="105"/>
      <c r="H21" s="82">
        <f t="shared" si="5"/>
        <v>35000000</v>
      </c>
      <c r="I21" s="101"/>
      <c r="J21" s="53"/>
    </row>
    <row r="22" spans="2:10" x14ac:dyDescent="0.2">
      <c r="B22" s="105" t="s">
        <v>210</v>
      </c>
      <c r="C22" s="105">
        <v>2</v>
      </c>
      <c r="D22" s="105" t="s">
        <v>114</v>
      </c>
      <c r="E22" s="82">
        <v>7233751</v>
      </c>
      <c r="F22" s="105"/>
      <c r="G22" s="105">
        <v>4</v>
      </c>
      <c r="H22" s="82">
        <f>C22*E22*G22</f>
        <v>57870008</v>
      </c>
      <c r="J22" s="53"/>
    </row>
    <row r="23" spans="2:10" x14ac:dyDescent="0.2">
      <c r="B23" s="105" t="s">
        <v>87</v>
      </c>
      <c r="C23" s="105">
        <v>19</v>
      </c>
      <c r="D23" s="105" t="s">
        <v>76</v>
      </c>
      <c r="E23" s="95">
        <v>6000000</v>
      </c>
      <c r="F23" s="105"/>
      <c r="G23" s="105"/>
      <c r="H23" s="82">
        <f>C23*E23</f>
        <v>114000000</v>
      </c>
      <c r="J23" s="53"/>
    </row>
    <row r="24" spans="2:10" x14ac:dyDescent="0.2">
      <c r="B24" s="105" t="s">
        <v>88</v>
      </c>
      <c r="C24" s="105">
        <v>19</v>
      </c>
      <c r="D24" s="105" t="s">
        <v>76</v>
      </c>
      <c r="E24" s="95">
        <v>1800000</v>
      </c>
      <c r="F24" s="105"/>
      <c r="G24" s="105"/>
      <c r="H24" s="82">
        <f>C24*E24</f>
        <v>34200000</v>
      </c>
      <c r="J24" s="53"/>
    </row>
    <row r="25" spans="2:10" x14ac:dyDescent="0.2">
      <c r="B25" s="105" t="s">
        <v>90</v>
      </c>
      <c r="C25" s="105">
        <v>2</v>
      </c>
      <c r="D25" s="105" t="s">
        <v>160</v>
      </c>
      <c r="E25" s="82">
        <v>7862772</v>
      </c>
      <c r="F25" s="209">
        <v>0.5</v>
      </c>
      <c r="G25" s="105">
        <v>10</v>
      </c>
      <c r="H25" s="82">
        <f>C25*E25*G25*F25</f>
        <v>78627720</v>
      </c>
      <c r="I25" s="44"/>
      <c r="J25" s="53"/>
    </row>
    <row r="26" spans="2:10" x14ac:dyDescent="0.2">
      <c r="B26" s="105" t="s">
        <v>91</v>
      </c>
      <c r="C26" s="105">
        <v>7</v>
      </c>
      <c r="D26" s="105" t="s">
        <v>172</v>
      </c>
      <c r="E26" s="82">
        <v>1313122</v>
      </c>
      <c r="F26" s="105"/>
      <c r="G26" s="105">
        <v>5</v>
      </c>
      <c r="H26" s="82">
        <f>C26*E26*G26</f>
        <v>45959270</v>
      </c>
      <c r="I26" s="44"/>
      <c r="J26" s="53"/>
    </row>
    <row r="27" spans="2:10" x14ac:dyDescent="0.2">
      <c r="B27" s="105" t="s">
        <v>173</v>
      </c>
      <c r="C27" s="105">
        <v>7</v>
      </c>
      <c r="D27" s="105" t="s">
        <v>114</v>
      </c>
      <c r="E27" s="82">
        <v>3145107</v>
      </c>
      <c r="F27" s="209">
        <v>0.5</v>
      </c>
      <c r="G27" s="105">
        <v>8</v>
      </c>
      <c r="H27" s="82">
        <f>C27*E27*G27</f>
        <v>176125992</v>
      </c>
      <c r="I27" s="44"/>
      <c r="J27" s="53"/>
    </row>
    <row r="28" spans="2:10" x14ac:dyDescent="0.2">
      <c r="B28" s="105" t="s">
        <v>57</v>
      </c>
      <c r="C28" s="105">
        <v>7</v>
      </c>
      <c r="D28" s="105" t="s">
        <v>84</v>
      </c>
      <c r="E28" s="82">
        <v>1300000</v>
      </c>
      <c r="F28" s="209">
        <v>0.5</v>
      </c>
      <c r="G28" s="105">
        <v>8</v>
      </c>
      <c r="H28" s="82">
        <f>C28*E28*G28</f>
        <v>72800000</v>
      </c>
      <c r="I28" s="44"/>
      <c r="J28" s="53"/>
    </row>
    <row r="29" spans="2:10" x14ac:dyDescent="0.2">
      <c r="B29" s="105" t="s">
        <v>194</v>
      </c>
      <c r="C29" s="105">
        <v>7</v>
      </c>
      <c r="D29" s="105" t="s">
        <v>84</v>
      </c>
      <c r="E29" s="82">
        <v>155000</v>
      </c>
      <c r="F29" s="209"/>
      <c r="G29" s="105">
        <v>8</v>
      </c>
      <c r="H29" s="82">
        <f>C29*E29*G29</f>
        <v>8680000</v>
      </c>
      <c r="I29" s="44"/>
      <c r="J29" s="53"/>
    </row>
    <row r="30" spans="2:10" x14ac:dyDescent="0.2">
      <c r="B30" s="105" t="s">
        <v>221</v>
      </c>
      <c r="C30" s="105"/>
      <c r="D30" s="105"/>
      <c r="E30" s="82"/>
      <c r="F30" s="209"/>
      <c r="G30" s="105"/>
      <c r="H30" s="82" t="s">
        <v>78</v>
      </c>
      <c r="I30" s="44"/>
      <c r="J30" s="138"/>
    </row>
    <row r="31" spans="2:10" ht="15" x14ac:dyDescent="0.25">
      <c r="B31" s="105" t="s">
        <v>209</v>
      </c>
      <c r="C31" s="105"/>
      <c r="D31" s="105"/>
      <c r="E31" s="105"/>
      <c r="F31" s="105"/>
      <c r="G31" s="105"/>
      <c r="H31" s="82" t="s">
        <v>78</v>
      </c>
      <c r="I31" s="89" t="s">
        <v>174</v>
      </c>
      <c r="J31" s="138"/>
    </row>
    <row r="32" spans="2:10" ht="15" x14ac:dyDescent="0.25">
      <c r="B32" s="86" t="s">
        <v>33</v>
      </c>
      <c r="C32" s="87"/>
      <c r="D32" s="87"/>
      <c r="E32" s="87"/>
      <c r="F32" s="88"/>
      <c r="G32" s="88"/>
      <c r="H32" s="89">
        <f>SUM(H16:H31)</f>
        <v>739902990</v>
      </c>
      <c r="I32" s="89">
        <f>H32/12</f>
        <v>61658582.5</v>
      </c>
      <c r="J32" s="138"/>
    </row>
    <row r="33" spans="1:10" s="103" customFormat="1" ht="140.25" customHeight="1" x14ac:dyDescent="0.2">
      <c r="B33" s="132" t="s">
        <v>378</v>
      </c>
      <c r="C33" s="90"/>
      <c r="D33" s="90"/>
      <c r="E33" s="90"/>
      <c r="F33" s="90"/>
      <c r="G33" s="90"/>
      <c r="H33" s="90"/>
    </row>
    <row r="34" spans="1:10" ht="15" x14ac:dyDescent="0.25">
      <c r="B34" s="112"/>
      <c r="C34" s="112"/>
      <c r="D34" s="112"/>
      <c r="E34" s="112"/>
      <c r="F34" s="112"/>
      <c r="G34" s="112"/>
      <c r="H34" s="112"/>
      <c r="I34" s="91"/>
    </row>
    <row r="35" spans="1:10" ht="15" x14ac:dyDescent="0.25">
      <c r="B35" s="112"/>
      <c r="C35" s="112"/>
      <c r="D35" s="112"/>
      <c r="E35" s="112"/>
      <c r="F35" s="112"/>
      <c r="G35" s="112"/>
      <c r="H35" s="112"/>
      <c r="I35" s="91"/>
    </row>
    <row r="36" spans="1:10" s="103" customFormat="1" ht="14.45" customHeight="1" x14ac:dyDescent="0.25">
      <c r="A36" s="92"/>
      <c r="B36" s="717" t="str">
        <f>B9</f>
        <v xml:space="preserve">7.2  Fortalecimiento en el acceso y la seguridad jurídica de los predios e inversiones para el cultivo de maíz. </v>
      </c>
      <c r="C36" s="718"/>
      <c r="D36" s="718"/>
      <c r="E36" s="718"/>
      <c r="F36" s="718"/>
      <c r="G36" s="718"/>
      <c r="H36" s="718"/>
    </row>
    <row r="37" spans="1:10" hidden="1" x14ac:dyDescent="0.2">
      <c r="B37" s="112"/>
      <c r="C37" s="112"/>
      <c r="D37" s="112"/>
      <c r="E37" s="112"/>
      <c r="F37" s="112"/>
      <c r="G37" s="112"/>
      <c r="H37" s="112"/>
    </row>
    <row r="38" spans="1:10" ht="15" x14ac:dyDescent="0.25">
      <c r="B38" s="79" t="s">
        <v>79</v>
      </c>
      <c r="C38" s="79" t="s">
        <v>59</v>
      </c>
      <c r="D38" s="79" t="s">
        <v>56</v>
      </c>
      <c r="E38" s="79" t="s">
        <v>55</v>
      </c>
      <c r="F38" s="79" t="s">
        <v>80</v>
      </c>
      <c r="G38" s="79" t="s">
        <v>81</v>
      </c>
      <c r="H38" s="79" t="s">
        <v>82</v>
      </c>
    </row>
    <row r="39" spans="1:10" s="103" customFormat="1" x14ac:dyDescent="0.2">
      <c r="A39" s="93"/>
      <c r="B39" s="104" t="s">
        <v>83</v>
      </c>
      <c r="C39" s="104">
        <v>12</v>
      </c>
      <c r="D39" s="104" t="s">
        <v>84</v>
      </c>
      <c r="E39" s="45">
        <v>500000</v>
      </c>
      <c r="F39" s="104"/>
      <c r="G39" s="104"/>
      <c r="H39" s="82">
        <v>12000000</v>
      </c>
      <c r="I39" s="44"/>
      <c r="J39" s="138"/>
    </row>
    <row r="40" spans="1:10" s="103" customFormat="1" x14ac:dyDescent="0.2">
      <c r="B40" s="104" t="s">
        <v>85</v>
      </c>
      <c r="C40" s="104">
        <v>12</v>
      </c>
      <c r="D40" s="104" t="s">
        <v>84</v>
      </c>
      <c r="E40" s="45">
        <v>100000</v>
      </c>
      <c r="F40" s="104"/>
      <c r="G40" s="104"/>
      <c r="H40" s="82">
        <v>1200000</v>
      </c>
      <c r="I40" s="44"/>
      <c r="J40" s="138"/>
    </row>
    <row r="41" spans="1:10" s="103" customFormat="1" x14ac:dyDescent="0.2">
      <c r="B41" s="104" t="s">
        <v>102</v>
      </c>
      <c r="C41" s="104">
        <v>19</v>
      </c>
      <c r="D41" s="104" t="s">
        <v>84</v>
      </c>
      <c r="E41" s="45">
        <v>2300000</v>
      </c>
      <c r="F41" s="104"/>
      <c r="G41" s="104"/>
      <c r="H41" s="82">
        <v>20000000</v>
      </c>
      <c r="I41" s="44"/>
      <c r="J41" s="138"/>
    </row>
    <row r="42" spans="1:10" x14ac:dyDescent="0.2">
      <c r="B42" s="104" t="s">
        <v>103</v>
      </c>
      <c r="C42" s="104">
        <v>19</v>
      </c>
      <c r="D42" s="104" t="s">
        <v>84</v>
      </c>
      <c r="E42" s="45">
        <v>460000</v>
      </c>
      <c r="F42" s="104"/>
      <c r="G42" s="104"/>
      <c r="H42" s="82">
        <v>142500000</v>
      </c>
      <c r="I42" s="101"/>
      <c r="J42" s="138"/>
    </row>
    <row r="43" spans="1:10" x14ac:dyDescent="0.2">
      <c r="B43" s="104" t="s">
        <v>60</v>
      </c>
      <c r="C43" s="104">
        <v>7</v>
      </c>
      <c r="D43" s="104" t="s">
        <v>84</v>
      </c>
      <c r="E43" s="45">
        <v>5000000</v>
      </c>
      <c r="F43" s="104"/>
      <c r="G43" s="104"/>
      <c r="H43" s="82">
        <f>C43*E43</f>
        <v>35000000</v>
      </c>
      <c r="I43" s="101"/>
      <c r="J43" s="138"/>
    </row>
    <row r="44" spans="1:10" x14ac:dyDescent="0.2">
      <c r="B44" s="104" t="s">
        <v>212</v>
      </c>
      <c r="C44" s="104">
        <v>1</v>
      </c>
      <c r="D44" s="104" t="s">
        <v>84</v>
      </c>
      <c r="E44" s="45">
        <v>142800000</v>
      </c>
      <c r="F44" s="104"/>
      <c r="G44" s="104"/>
      <c r="H44" s="82">
        <f>C44*E44</f>
        <v>142800000</v>
      </c>
      <c r="I44" s="101"/>
      <c r="J44" s="138"/>
    </row>
    <row r="45" spans="1:10" s="103" customFormat="1" x14ac:dyDescent="0.2">
      <c r="A45" s="93"/>
      <c r="B45" s="104" t="s">
        <v>189</v>
      </c>
      <c r="C45" s="105">
        <v>7</v>
      </c>
      <c r="D45" s="104" t="s">
        <v>84</v>
      </c>
      <c r="E45" s="45">
        <v>3000000</v>
      </c>
      <c r="F45" s="104"/>
      <c r="G45" s="104"/>
      <c r="H45" s="82">
        <v>50000000</v>
      </c>
      <c r="I45" s="84"/>
      <c r="J45" s="138"/>
    </row>
    <row r="46" spans="1:10" s="103" customFormat="1" x14ac:dyDescent="0.2">
      <c r="A46" s="93"/>
      <c r="B46" s="104" t="s">
        <v>214</v>
      </c>
      <c r="C46" s="105">
        <v>1</v>
      </c>
      <c r="D46" s="104" t="s">
        <v>84</v>
      </c>
      <c r="E46" s="45">
        <v>5661197</v>
      </c>
      <c r="F46" s="104"/>
      <c r="G46" s="104">
        <v>4</v>
      </c>
      <c r="H46" s="82">
        <f>C46*E46*G46</f>
        <v>22644788</v>
      </c>
      <c r="I46" s="84"/>
      <c r="J46" s="138"/>
    </row>
    <row r="47" spans="1:10" s="103" customFormat="1" x14ac:dyDescent="0.2">
      <c r="A47" s="93"/>
      <c r="B47" s="104" t="s">
        <v>171</v>
      </c>
      <c r="C47" s="104">
        <f>7*10</f>
        <v>70</v>
      </c>
      <c r="D47" s="104" t="s">
        <v>76</v>
      </c>
      <c r="E47" s="45">
        <v>6000000</v>
      </c>
      <c r="F47" s="104"/>
      <c r="G47" s="104"/>
      <c r="H47" s="82">
        <f t="shared" ref="H47:H48" si="6">C47*E47</f>
        <v>420000000</v>
      </c>
      <c r="I47" s="84"/>
      <c r="J47" s="138"/>
    </row>
    <row r="48" spans="1:10" s="103" customFormat="1" x14ac:dyDescent="0.2">
      <c r="A48" s="93"/>
      <c r="B48" s="104" t="s">
        <v>88</v>
      </c>
      <c r="C48" s="104">
        <f>7*10</f>
        <v>70</v>
      </c>
      <c r="D48" s="104" t="s">
        <v>76</v>
      </c>
      <c r="E48" s="45">
        <v>1800000</v>
      </c>
      <c r="F48" s="104"/>
      <c r="G48" s="104"/>
      <c r="H48" s="82">
        <f t="shared" si="6"/>
        <v>126000000</v>
      </c>
      <c r="I48" s="84"/>
      <c r="J48" s="138"/>
    </row>
    <row r="49" spans="1:10" s="103" customFormat="1" x14ac:dyDescent="0.2">
      <c r="A49" s="93"/>
      <c r="B49" s="104" t="s">
        <v>213</v>
      </c>
      <c r="C49" s="105">
        <v>2</v>
      </c>
      <c r="D49" s="104" t="s">
        <v>84</v>
      </c>
      <c r="E49" s="45">
        <v>7862772</v>
      </c>
      <c r="F49" s="98">
        <v>0.5</v>
      </c>
      <c r="G49" s="104">
        <v>10</v>
      </c>
      <c r="H49" s="82">
        <v>182149176</v>
      </c>
      <c r="I49" s="85"/>
      <c r="J49" s="138"/>
    </row>
    <row r="50" spans="1:10" s="103" customFormat="1" x14ac:dyDescent="0.2">
      <c r="B50" s="104" t="s">
        <v>91</v>
      </c>
      <c r="C50" s="105">
        <v>7</v>
      </c>
      <c r="D50" s="103" t="s">
        <v>84</v>
      </c>
      <c r="E50" s="45">
        <v>1769683</v>
      </c>
      <c r="F50" s="104"/>
      <c r="G50" s="104"/>
      <c r="H50" s="82">
        <v>19851700</v>
      </c>
      <c r="I50" s="84"/>
      <c r="J50" s="138"/>
    </row>
    <row r="51" spans="1:10" s="103" customFormat="1" x14ac:dyDescent="0.2">
      <c r="B51" s="104" t="s">
        <v>173</v>
      </c>
      <c r="C51" s="105">
        <v>7</v>
      </c>
      <c r="D51" s="133" t="s">
        <v>114</v>
      </c>
      <c r="E51" s="45">
        <v>3145107</v>
      </c>
      <c r="F51" s="98">
        <v>0.5</v>
      </c>
      <c r="G51" s="104">
        <v>8</v>
      </c>
      <c r="H51" s="82">
        <f>C51*E51*F51*G51</f>
        <v>88062996</v>
      </c>
      <c r="I51" s="84"/>
      <c r="J51" s="138"/>
    </row>
    <row r="52" spans="1:10" s="103" customFormat="1" x14ac:dyDescent="0.2">
      <c r="B52" s="104" t="s">
        <v>57</v>
      </c>
      <c r="C52" s="105">
        <v>7</v>
      </c>
      <c r="D52" s="133" t="s">
        <v>84</v>
      </c>
      <c r="E52" s="45">
        <v>1300000</v>
      </c>
      <c r="F52" s="98">
        <v>0.5</v>
      </c>
      <c r="G52" s="104">
        <v>8</v>
      </c>
      <c r="H52" s="82">
        <f>C52*E52*G52*F52</f>
        <v>36400000</v>
      </c>
      <c r="I52" s="84"/>
      <c r="J52" s="138"/>
    </row>
    <row r="53" spans="1:10" s="103" customFormat="1" x14ac:dyDescent="0.2">
      <c r="B53" s="104" t="s">
        <v>194</v>
      </c>
      <c r="C53" s="105">
        <v>7</v>
      </c>
      <c r="D53" s="133" t="s">
        <v>84</v>
      </c>
      <c r="E53" s="45">
        <v>155000</v>
      </c>
      <c r="F53" s="104"/>
      <c r="G53" s="104">
        <v>8</v>
      </c>
      <c r="H53" s="82">
        <f>C53*E53*G53</f>
        <v>8680000</v>
      </c>
      <c r="I53" s="84"/>
      <c r="J53" s="138"/>
    </row>
    <row r="54" spans="1:10" x14ac:dyDescent="0.2">
      <c r="B54" s="105" t="s">
        <v>326</v>
      </c>
      <c r="C54" s="105">
        <f>19*20</f>
        <v>380</v>
      </c>
      <c r="D54" s="105" t="s">
        <v>84</v>
      </c>
      <c r="E54" s="95">
        <v>3000000</v>
      </c>
      <c r="F54" s="105"/>
      <c r="G54" s="105"/>
      <c r="H54" s="82">
        <v>625975000</v>
      </c>
      <c r="I54" s="44"/>
      <c r="J54" s="53"/>
    </row>
    <row r="55" spans="1:10" x14ac:dyDescent="0.2">
      <c r="B55" s="105" t="s">
        <v>360</v>
      </c>
      <c r="C55" s="105">
        <v>2</v>
      </c>
      <c r="D55" s="105" t="s">
        <v>84</v>
      </c>
      <c r="E55" s="95">
        <v>11479652</v>
      </c>
      <c r="F55" s="105"/>
      <c r="G55" s="105">
        <v>8</v>
      </c>
      <c r="H55" s="82">
        <f>C55*E55*G55</f>
        <v>183674432</v>
      </c>
      <c r="I55" s="44"/>
      <c r="J55" s="53"/>
    </row>
    <row r="56" spans="1:10" x14ac:dyDescent="0.2">
      <c r="B56" s="104" t="s">
        <v>211</v>
      </c>
      <c r="C56" s="105"/>
      <c r="D56" s="104"/>
      <c r="E56" s="109"/>
      <c r="F56" s="104"/>
      <c r="G56" s="104"/>
      <c r="H56" s="82" t="s">
        <v>78</v>
      </c>
      <c r="I56" s="44"/>
      <c r="J56" s="53"/>
    </row>
    <row r="57" spans="1:10" x14ac:dyDescent="0.2">
      <c r="B57" s="104" t="s">
        <v>437</v>
      </c>
      <c r="C57" s="104"/>
      <c r="D57" s="104"/>
      <c r="E57" s="109"/>
      <c r="F57" s="94"/>
      <c r="G57" s="104"/>
      <c r="H57" s="82" t="s">
        <v>78</v>
      </c>
      <c r="I57" s="44"/>
      <c r="J57" s="53"/>
    </row>
    <row r="58" spans="1:10" ht="15" x14ac:dyDescent="0.25">
      <c r="B58" s="104"/>
      <c r="C58" s="104"/>
      <c r="D58" s="104"/>
      <c r="E58" s="104"/>
      <c r="F58" s="104"/>
      <c r="G58" s="104"/>
      <c r="H58" s="105"/>
      <c r="I58" s="99" t="s">
        <v>174</v>
      </c>
      <c r="J58" s="53"/>
    </row>
    <row r="59" spans="1:10" ht="15" x14ac:dyDescent="0.25">
      <c r="B59" s="86" t="s">
        <v>361</v>
      </c>
      <c r="C59" s="87"/>
      <c r="D59" s="87"/>
      <c r="E59" s="88"/>
      <c r="F59" s="88"/>
      <c r="G59" s="87"/>
      <c r="H59" s="99">
        <f>SUM(H39:H58)</f>
        <v>2116938092</v>
      </c>
      <c r="I59" s="99">
        <f>H59/12</f>
        <v>176411507.66666666</v>
      </c>
      <c r="J59" s="53"/>
    </row>
    <row r="60" spans="1:10" s="103" customFormat="1" ht="260.45" hidden="1" customHeight="1" x14ac:dyDescent="0.25">
      <c r="B60" s="100" t="s">
        <v>97</v>
      </c>
      <c r="C60" s="112"/>
      <c r="D60" s="112"/>
      <c r="E60" s="112"/>
      <c r="F60" s="112"/>
      <c r="G60" s="112"/>
      <c r="H60" s="99">
        <f t="shared" ref="H60" si="7">SUM(H40:H59)</f>
        <v>4221876184</v>
      </c>
      <c r="J60" s="53"/>
    </row>
    <row r="61" spans="1:10" ht="15" x14ac:dyDescent="0.25">
      <c r="B61" s="86" t="s">
        <v>362</v>
      </c>
      <c r="C61" s="87"/>
      <c r="D61" s="87"/>
      <c r="E61" s="88"/>
      <c r="F61" s="88"/>
      <c r="G61" s="87"/>
      <c r="H61" s="99">
        <f>H59-H55</f>
        <v>1933263660</v>
      </c>
      <c r="I61" s="99"/>
      <c r="J61" s="53"/>
    </row>
    <row r="62" spans="1:10" ht="218.45" customHeight="1" x14ac:dyDescent="0.2">
      <c r="B62" s="131" t="s">
        <v>450</v>
      </c>
      <c r="C62" s="103"/>
      <c r="D62" s="103"/>
      <c r="E62" s="103"/>
      <c r="F62" s="78"/>
      <c r="G62" s="78"/>
    </row>
    <row r="63" spans="1:10" x14ac:dyDescent="0.2">
      <c r="B63" s="103"/>
      <c r="C63" s="103"/>
      <c r="D63" s="103"/>
      <c r="E63" s="103"/>
      <c r="F63" s="103"/>
      <c r="G63" s="103"/>
    </row>
  </sheetData>
  <sheetProtection algorithmName="SHA-512" hashValue="prZiPBCatgHSsMbqp/YOGw7JjmD2gm6uSxi43ifUyHAb02uEN2XHuz23Fm//+vNWrORr+/ToPzkbZgsW2K4EVg==" saltValue="malCPXQhWT74Y1VqY+YC2w==" spinCount="100000" sheet="1" objects="1" scenarios="1"/>
  <mergeCells count="2">
    <mergeCell ref="B13:H14"/>
    <mergeCell ref="B36:H3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8"/>
  <sheetViews>
    <sheetView showGridLines="0" topLeftCell="A25" zoomScale="60" zoomScaleNormal="60" workbookViewId="0">
      <selection activeCell="B38" sqref="B38:H38"/>
    </sheetView>
  </sheetViews>
  <sheetFormatPr baseColWidth="10" defaultColWidth="10.7109375" defaultRowHeight="14.25" x14ac:dyDescent="0.2"/>
  <cols>
    <col min="1" max="1" width="13.42578125" style="102" customWidth="1"/>
    <col min="2" max="2" width="67.42578125" style="102" customWidth="1"/>
    <col min="3" max="3" width="29.85546875" style="102" customWidth="1"/>
    <col min="4" max="4" width="24.28515625" style="102" customWidth="1"/>
    <col min="5" max="5" width="22.42578125" style="102" customWidth="1"/>
    <col min="6" max="6" width="19.85546875" style="102" bestFit="1" customWidth="1"/>
    <col min="7" max="7" width="18.28515625" style="102" bestFit="1" customWidth="1"/>
    <col min="8" max="8" width="23" style="102" bestFit="1" customWidth="1"/>
    <col min="9" max="9" width="18.7109375" style="102" customWidth="1"/>
    <col min="10" max="10" width="17.42578125" style="102" bestFit="1" customWidth="1"/>
    <col min="11" max="11" width="18.28515625" style="102" bestFit="1" customWidth="1"/>
    <col min="12" max="12" width="19.140625" style="102" bestFit="1" customWidth="1"/>
    <col min="13" max="13" width="17.42578125" style="102" bestFit="1" customWidth="1"/>
    <col min="14" max="14" width="18.42578125" style="102" bestFit="1" customWidth="1"/>
    <col min="15" max="15" width="17.42578125" style="102" bestFit="1" customWidth="1"/>
    <col min="16" max="16" width="17.42578125" style="102" customWidth="1"/>
    <col min="17" max="17" width="18.42578125" style="102" bestFit="1" customWidth="1"/>
    <col min="18" max="19" width="17.42578125" style="102" bestFit="1" customWidth="1"/>
    <col min="20" max="20" width="18.42578125" style="102" bestFit="1" customWidth="1"/>
    <col min="21" max="22" width="17.42578125" style="102" bestFit="1" customWidth="1"/>
    <col min="23" max="23" width="18.42578125" style="102" bestFit="1" customWidth="1"/>
    <col min="24" max="24" width="19.140625" style="102" bestFit="1" customWidth="1"/>
    <col min="25" max="25" width="20.28515625" style="102"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B2" s="58" t="s">
        <v>98</v>
      </c>
    </row>
    <row r="3" spans="1:26" s="103" customFormat="1" ht="15" x14ac:dyDescent="0.25">
      <c r="A3" s="50"/>
    </row>
    <row r="4" spans="1:26" ht="21.75" customHeight="1" x14ac:dyDescent="0.25">
      <c r="A4" s="59"/>
      <c r="B4" s="171" t="str">
        <f>'PPP_V3_y Costos'!C21</f>
        <v>8. Fortalecimiento del desarrollo tecnológico y la innovación en la cadena de maíz.</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 t="shared" ref="E7" si="0">SUM(E8:E9)</f>
        <v>1372151353.5009999</v>
      </c>
      <c r="F7" s="66">
        <f>SUM(F8:F9)</f>
        <v>4006419856.0019999</v>
      </c>
      <c r="G7" s="66">
        <f t="shared" ref="G7:X7" si="1">SUM(G8:G9)</f>
        <v>4006419856.0019999</v>
      </c>
      <c r="H7" s="66">
        <f t="shared" si="1"/>
        <v>3375361281.5019999</v>
      </c>
      <c r="I7" s="66">
        <f t="shared" si="1"/>
        <v>1482185558.0020001</v>
      </c>
      <c r="J7" s="66">
        <f t="shared" si="1"/>
        <v>370546389.50050002</v>
      </c>
      <c r="K7" s="66">
        <f t="shared" si="1"/>
        <v>2524234298</v>
      </c>
      <c r="L7" s="66">
        <f t="shared" si="1"/>
        <v>0</v>
      </c>
      <c r="M7" s="66">
        <f t="shared" si="1"/>
        <v>0</v>
      </c>
      <c r="N7" s="66">
        <f t="shared" si="1"/>
        <v>2524234298</v>
      </c>
      <c r="O7" s="66">
        <f t="shared" si="1"/>
        <v>0</v>
      </c>
      <c r="P7" s="66">
        <f t="shared" si="1"/>
        <v>0</v>
      </c>
      <c r="Q7" s="66">
        <f t="shared" si="1"/>
        <v>2524234298</v>
      </c>
      <c r="R7" s="66">
        <f t="shared" si="1"/>
        <v>0</v>
      </c>
      <c r="S7" s="66">
        <f t="shared" si="1"/>
        <v>0</v>
      </c>
      <c r="T7" s="66">
        <f t="shared" si="1"/>
        <v>2524234298</v>
      </c>
      <c r="U7" s="66">
        <f t="shared" si="1"/>
        <v>0</v>
      </c>
      <c r="V7" s="66">
        <f t="shared" si="1"/>
        <v>0</v>
      </c>
      <c r="W7" s="66">
        <f t="shared" si="1"/>
        <v>2524234298</v>
      </c>
      <c r="X7" s="66">
        <f t="shared" si="1"/>
        <v>0</v>
      </c>
      <c r="Y7" s="66">
        <f>SUM(E7:X7)</f>
        <v>27234255784.509499</v>
      </c>
      <c r="Z7" s="67"/>
    </row>
    <row r="8" spans="1:26" s="71" customFormat="1" ht="45.75" customHeight="1" x14ac:dyDescent="0.2">
      <c r="A8" s="68"/>
      <c r="B8" s="69" t="str">
        <f>'PPP_V3_y Costos'!D21</f>
        <v>8.1. Fortalecimiento de los procesos I+D+i para la cadena de maíz y sus derivados.</v>
      </c>
      <c r="C8" s="144" t="s">
        <v>200</v>
      </c>
      <c r="D8" s="144" t="s">
        <v>177</v>
      </c>
      <c r="E8" s="198">
        <f>+H34*6</f>
        <v>741092779.00100005</v>
      </c>
      <c r="F8" s="70">
        <f>+H33</f>
        <v>1482185558.0020001</v>
      </c>
      <c r="G8" s="70">
        <f>+H33</f>
        <v>1482185558.0020001</v>
      </c>
      <c r="H8" s="70">
        <f>+H33</f>
        <v>1482185558.0020001</v>
      </c>
      <c r="I8" s="70">
        <f>+H33</f>
        <v>1482185558.0020001</v>
      </c>
      <c r="J8" s="70">
        <f>+H34*3</f>
        <v>370546389.50050002</v>
      </c>
      <c r="K8" s="70" t="str">
        <f>+H31</f>
        <v>Por definir</v>
      </c>
      <c r="L8" s="70" t="str">
        <f>+$H$31</f>
        <v>Por definir</v>
      </c>
      <c r="M8" s="70" t="str">
        <f t="shared" ref="M8:X8" si="2">+$H$31</f>
        <v>Por definir</v>
      </c>
      <c r="N8" s="70" t="str">
        <f t="shared" si="2"/>
        <v>Por definir</v>
      </c>
      <c r="O8" s="70" t="str">
        <f t="shared" si="2"/>
        <v>Por definir</v>
      </c>
      <c r="P8" s="70" t="str">
        <f t="shared" si="2"/>
        <v>Por definir</v>
      </c>
      <c r="Q8" s="70" t="str">
        <f t="shared" si="2"/>
        <v>Por definir</v>
      </c>
      <c r="R8" s="70" t="str">
        <f t="shared" si="2"/>
        <v>Por definir</v>
      </c>
      <c r="S8" s="70" t="str">
        <f t="shared" si="2"/>
        <v>Por definir</v>
      </c>
      <c r="T8" s="70" t="str">
        <f t="shared" si="2"/>
        <v>Por definir</v>
      </c>
      <c r="U8" s="70" t="str">
        <f t="shared" si="2"/>
        <v>Por definir</v>
      </c>
      <c r="V8" s="70" t="str">
        <f t="shared" si="2"/>
        <v>Por definir</v>
      </c>
      <c r="W8" s="70" t="str">
        <f t="shared" si="2"/>
        <v>Por definir</v>
      </c>
      <c r="X8" s="70" t="str">
        <f t="shared" si="2"/>
        <v>Por definir</v>
      </c>
      <c r="Y8" s="70">
        <f>SUM(E8:X8)</f>
        <v>7040381400.5094995</v>
      </c>
      <c r="Z8" s="67"/>
    </row>
    <row r="9" spans="1:26" s="71" customFormat="1" ht="42.95" customHeight="1" x14ac:dyDescent="0.2">
      <c r="A9" s="68"/>
      <c r="B9" s="69" t="str">
        <f>'PPP_V3_y Costos'!D22</f>
        <v>8.2. Fortalecimiento del talento humano en I+D+i, y en extensionismo agrícola e industrial.</v>
      </c>
      <c r="C9" s="144" t="s">
        <v>388</v>
      </c>
      <c r="D9" s="144" t="s">
        <v>177</v>
      </c>
      <c r="E9" s="146">
        <f>+H66*3</f>
        <v>631058574.5</v>
      </c>
      <c r="F9" s="70">
        <f>+H65</f>
        <v>2524234298</v>
      </c>
      <c r="G9" s="70">
        <f>+H65</f>
        <v>2524234298</v>
      </c>
      <c r="H9" s="70">
        <f>+H66*9</f>
        <v>1893175723.5</v>
      </c>
      <c r="I9" s="70" t="str">
        <f>+H64</f>
        <v>Por definir</v>
      </c>
      <c r="J9" s="70" t="str">
        <f>+H64</f>
        <v>Por definir</v>
      </c>
      <c r="K9" s="70">
        <f>+H65</f>
        <v>2524234298</v>
      </c>
      <c r="L9" s="70" t="str">
        <f>+H64</f>
        <v>Por definir</v>
      </c>
      <c r="M9" s="70" t="str">
        <f>+H64</f>
        <v>Por definir</v>
      </c>
      <c r="N9" s="70">
        <f>+H65</f>
        <v>2524234298</v>
      </c>
      <c r="O9" s="70" t="str">
        <f>+H64</f>
        <v>Por definir</v>
      </c>
      <c r="P9" s="70" t="str">
        <f>+H64</f>
        <v>Por definir</v>
      </c>
      <c r="Q9" s="70">
        <f>+H65</f>
        <v>2524234298</v>
      </c>
      <c r="R9" s="70" t="str">
        <f>+H64</f>
        <v>Por definir</v>
      </c>
      <c r="S9" s="70" t="str">
        <f>+H64</f>
        <v>Por definir</v>
      </c>
      <c r="T9" s="70">
        <f>+H65</f>
        <v>2524234298</v>
      </c>
      <c r="U9" s="70" t="str">
        <f>+H64</f>
        <v>Por definir</v>
      </c>
      <c r="V9" s="70" t="str">
        <f>+H64</f>
        <v>Por definir</v>
      </c>
      <c r="W9" s="70">
        <f>+H65</f>
        <v>2524234298</v>
      </c>
      <c r="X9" s="70" t="str">
        <f>+H64</f>
        <v>Por definir</v>
      </c>
      <c r="Y9" s="70">
        <f>SUM(E9:X9)</f>
        <v>20193874384</v>
      </c>
      <c r="Z9" s="67"/>
    </row>
    <row r="10" spans="1:26" s="40" customFormat="1" ht="24.75" customHeight="1" x14ac:dyDescent="0.25">
      <c r="A10" s="102"/>
      <c r="B10" s="64" t="s">
        <v>33</v>
      </c>
      <c r="C10" s="64"/>
      <c r="D10" s="64"/>
      <c r="E10" s="72"/>
      <c r="F10" s="72"/>
      <c r="G10" s="72"/>
      <c r="H10" s="72"/>
      <c r="I10" s="72"/>
      <c r="J10" s="72"/>
      <c r="K10" s="72"/>
      <c r="L10" s="72"/>
      <c r="M10" s="72"/>
      <c r="N10" s="72"/>
      <c r="O10" s="72"/>
      <c r="P10" s="72"/>
      <c r="Q10" s="72"/>
      <c r="R10" s="72"/>
      <c r="S10" s="72"/>
      <c r="T10" s="72"/>
      <c r="U10" s="72"/>
      <c r="V10" s="72"/>
      <c r="W10" s="72"/>
      <c r="X10" s="72"/>
      <c r="Y10" s="72"/>
      <c r="Z10" s="67"/>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17" t="str">
        <f>B8</f>
        <v>8.1. Fortalecimiento de los procesos I+D+i para la cadena de maíz y sus derivados.</v>
      </c>
      <c r="C13" s="718"/>
      <c r="D13" s="718"/>
      <c r="E13" s="718"/>
      <c r="F13" s="718"/>
      <c r="G13" s="718"/>
      <c r="H13" s="718"/>
      <c r="I13" s="340"/>
      <c r="X13" s="78"/>
    </row>
    <row r="14" spans="1:26" s="103" customFormat="1" ht="14.45" customHeight="1" x14ac:dyDescent="0.25">
      <c r="B14" s="719"/>
      <c r="C14" s="719"/>
      <c r="D14" s="719"/>
      <c r="E14" s="719"/>
      <c r="F14" s="719"/>
      <c r="G14" s="719"/>
      <c r="H14" s="719"/>
      <c r="I14" s="340"/>
      <c r="X14" s="78"/>
    </row>
    <row r="15" spans="1:26" ht="15" x14ac:dyDescent="0.25">
      <c r="B15" s="79" t="s">
        <v>79</v>
      </c>
      <c r="C15" s="79" t="s">
        <v>59</v>
      </c>
      <c r="D15" s="79" t="s">
        <v>56</v>
      </c>
      <c r="E15" s="79" t="s">
        <v>55</v>
      </c>
      <c r="F15" s="80" t="s">
        <v>108</v>
      </c>
      <c r="G15" s="79" t="s">
        <v>81</v>
      </c>
      <c r="H15" s="79" t="s">
        <v>82</v>
      </c>
      <c r="X15" s="81"/>
    </row>
    <row r="16" spans="1:26" x14ac:dyDescent="0.2">
      <c r="B16" s="162" t="s">
        <v>83</v>
      </c>
      <c r="C16" s="49">
        <v>4</v>
      </c>
      <c r="D16" s="49" t="s">
        <v>84</v>
      </c>
      <c r="E16" s="196">
        <v>500000</v>
      </c>
      <c r="F16" s="49"/>
      <c r="G16" s="49"/>
      <c r="H16" s="151">
        <f>+C16*E16</f>
        <v>2000000</v>
      </c>
      <c r="I16" s="53"/>
    </row>
    <row r="17" spans="2:9" x14ac:dyDescent="0.2">
      <c r="B17" s="162" t="s">
        <v>85</v>
      </c>
      <c r="C17" s="49">
        <v>7</v>
      </c>
      <c r="D17" s="49" t="s">
        <v>84</v>
      </c>
      <c r="E17" s="196">
        <v>100000</v>
      </c>
      <c r="F17" s="49"/>
      <c r="G17" s="49"/>
      <c r="H17" s="151">
        <f>+C17*E17</f>
        <v>700000</v>
      </c>
      <c r="I17" s="53"/>
    </row>
    <row r="18" spans="2:9" x14ac:dyDescent="0.2">
      <c r="B18" s="162" t="s">
        <v>294</v>
      </c>
      <c r="C18" s="49">
        <v>4</v>
      </c>
      <c r="D18" s="49" t="s">
        <v>84</v>
      </c>
      <c r="E18" s="196">
        <v>2300000</v>
      </c>
      <c r="F18" s="49"/>
      <c r="G18" s="49"/>
      <c r="H18" s="151">
        <f>+C18*E18</f>
        <v>9200000</v>
      </c>
      <c r="I18" s="53"/>
    </row>
    <row r="19" spans="2:9" x14ac:dyDescent="0.2">
      <c r="B19" s="162" t="s">
        <v>290</v>
      </c>
      <c r="C19" s="49">
        <v>7</v>
      </c>
      <c r="D19" s="49" t="s">
        <v>84</v>
      </c>
      <c r="E19" s="196">
        <v>2300000</v>
      </c>
      <c r="F19" s="49"/>
      <c r="G19" s="49"/>
      <c r="H19" s="151">
        <f>+C19*E19</f>
        <v>16100000</v>
      </c>
      <c r="I19" s="53"/>
    </row>
    <row r="20" spans="2:9" x14ac:dyDescent="0.2">
      <c r="B20" s="162" t="s">
        <v>302</v>
      </c>
      <c r="C20" s="49">
        <v>19</v>
      </c>
      <c r="D20" s="49" t="s">
        <v>84</v>
      </c>
      <c r="E20" s="150">
        <v>460000</v>
      </c>
      <c r="F20" s="49"/>
      <c r="G20" s="49"/>
      <c r="H20" s="151">
        <f>+C20*E20</f>
        <v>8740000</v>
      </c>
      <c r="I20" s="53"/>
    </row>
    <row r="21" spans="2:9" x14ac:dyDescent="0.2">
      <c r="B21" s="162" t="s">
        <v>230</v>
      </c>
      <c r="C21" s="49">
        <v>4</v>
      </c>
      <c r="D21" s="49" t="s">
        <v>196</v>
      </c>
      <c r="E21" s="150">
        <v>9907096</v>
      </c>
      <c r="F21" s="97">
        <v>1</v>
      </c>
      <c r="G21" s="49">
        <v>12</v>
      </c>
      <c r="H21" s="151">
        <f>+C21*E21*F21*G21</f>
        <v>475540608</v>
      </c>
      <c r="I21" s="53"/>
    </row>
    <row r="22" spans="2:9" x14ac:dyDescent="0.2">
      <c r="B22" s="162" t="s">
        <v>91</v>
      </c>
      <c r="C22" s="49">
        <v>3</v>
      </c>
      <c r="D22" s="49" t="s">
        <v>84</v>
      </c>
      <c r="E22" s="150">
        <v>2774088</v>
      </c>
      <c r="F22" s="49"/>
      <c r="G22" s="49">
        <v>3</v>
      </c>
      <c r="H22" s="151">
        <f>+C22*E22*G22</f>
        <v>24966792</v>
      </c>
      <c r="I22" s="53"/>
    </row>
    <row r="23" spans="2:9" x14ac:dyDescent="0.2">
      <c r="B23" s="163" t="s">
        <v>312</v>
      </c>
      <c r="C23" s="49">
        <v>4</v>
      </c>
      <c r="D23" s="49" t="s">
        <v>185</v>
      </c>
      <c r="E23" s="150">
        <v>2000000</v>
      </c>
      <c r="F23" s="97"/>
      <c r="G23" s="49">
        <v>4</v>
      </c>
      <c r="H23" s="151">
        <f>+C23*E23*G23</f>
        <v>32000000</v>
      </c>
      <c r="I23" s="53"/>
    </row>
    <row r="24" spans="2:9" x14ac:dyDescent="0.2">
      <c r="B24" s="163" t="s">
        <v>313</v>
      </c>
      <c r="C24" s="49">
        <v>4</v>
      </c>
      <c r="D24" s="49" t="s">
        <v>196</v>
      </c>
      <c r="E24" s="189">
        <v>2967610</v>
      </c>
      <c r="F24" s="391"/>
      <c r="G24" s="47">
        <v>3</v>
      </c>
      <c r="H24" s="151">
        <f>+C24*E24*G24</f>
        <v>35611320</v>
      </c>
      <c r="I24" s="53"/>
    </row>
    <row r="25" spans="2:9" x14ac:dyDescent="0.2">
      <c r="B25" s="162" t="s">
        <v>249</v>
      </c>
      <c r="C25" s="49">
        <v>7</v>
      </c>
      <c r="D25" s="49" t="s">
        <v>308</v>
      </c>
      <c r="E25" s="150">
        <v>6604729</v>
      </c>
      <c r="F25" s="97">
        <v>1</v>
      </c>
      <c r="G25" s="49">
        <v>12</v>
      </c>
      <c r="H25" s="151">
        <f>+C25*E25*F25*G25</f>
        <v>554797236</v>
      </c>
      <c r="I25" s="53"/>
    </row>
    <row r="26" spans="2:9" x14ac:dyDescent="0.2">
      <c r="B26" s="49" t="s">
        <v>57</v>
      </c>
      <c r="C26" s="49">
        <v>7</v>
      </c>
      <c r="D26" s="49" t="s">
        <v>185</v>
      </c>
      <c r="E26" s="150">
        <v>1300000</v>
      </c>
      <c r="F26" s="49"/>
      <c r="G26" s="49">
        <v>12</v>
      </c>
      <c r="H26" s="151">
        <f>+C26*E26*G26</f>
        <v>109200000</v>
      </c>
      <c r="I26" s="53"/>
    </row>
    <row r="27" spans="2:9" x14ac:dyDescent="0.2">
      <c r="B27" s="49" t="s">
        <v>194</v>
      </c>
      <c r="C27" s="49">
        <f>+C25</f>
        <v>7</v>
      </c>
      <c r="D27" s="49" t="s">
        <v>185</v>
      </c>
      <c r="E27" s="150">
        <v>155000</v>
      </c>
      <c r="F27" s="49"/>
      <c r="G27" s="49">
        <v>12</v>
      </c>
      <c r="H27" s="151">
        <f>+C27*E27*G27</f>
        <v>13020000</v>
      </c>
      <c r="I27" s="53"/>
    </row>
    <row r="28" spans="2:9" x14ac:dyDescent="0.2">
      <c r="B28" s="163" t="s">
        <v>383</v>
      </c>
      <c r="C28" s="49">
        <v>7</v>
      </c>
      <c r="D28" s="49" t="s">
        <v>314</v>
      </c>
      <c r="E28" s="150">
        <v>8954882.5200000014</v>
      </c>
      <c r="F28" s="97"/>
      <c r="G28" s="49"/>
      <c r="H28" s="151">
        <f>+C28*E28</f>
        <v>62684177.640000008</v>
      </c>
      <c r="I28" s="53"/>
    </row>
    <row r="29" spans="2:9" x14ac:dyDescent="0.2">
      <c r="B29" s="163" t="s">
        <v>384</v>
      </c>
      <c r="C29" s="49">
        <v>3</v>
      </c>
      <c r="D29" s="49" t="s">
        <v>314</v>
      </c>
      <c r="E29" s="150">
        <v>19476574.949999999</v>
      </c>
      <c r="F29" s="97"/>
      <c r="G29" s="49"/>
      <c r="H29" s="151">
        <f>+C29*E29</f>
        <v>58429724.849999994</v>
      </c>
      <c r="I29" s="53"/>
    </row>
    <row r="30" spans="2:9" x14ac:dyDescent="0.2">
      <c r="B30" s="163" t="s">
        <v>385</v>
      </c>
      <c r="C30" s="49">
        <v>2</v>
      </c>
      <c r="D30" s="49" t="s">
        <v>314</v>
      </c>
      <c r="E30" s="150">
        <v>39597849.755999997</v>
      </c>
      <c r="F30" s="97"/>
      <c r="G30" s="49"/>
      <c r="H30" s="151">
        <f>+C30*E30</f>
        <v>79195699.511999995</v>
      </c>
      <c r="I30" s="53"/>
    </row>
    <row r="31" spans="2:9" x14ac:dyDescent="0.2">
      <c r="B31" s="163" t="s">
        <v>315</v>
      </c>
      <c r="C31" s="49"/>
      <c r="D31" s="49"/>
      <c r="E31" s="150"/>
      <c r="F31" s="97"/>
      <c r="G31" s="49"/>
      <c r="H31" s="151" t="s">
        <v>78</v>
      </c>
      <c r="I31" s="53"/>
    </row>
    <row r="32" spans="2:9" x14ac:dyDescent="0.2">
      <c r="B32" s="199" t="s">
        <v>316</v>
      </c>
      <c r="C32" s="49"/>
      <c r="D32" s="49"/>
      <c r="E32" s="150"/>
      <c r="F32" s="49"/>
      <c r="G32" s="49"/>
      <c r="H32" s="151" t="s">
        <v>78</v>
      </c>
      <c r="I32" s="53"/>
    </row>
    <row r="33" spans="1:10" ht="15" x14ac:dyDescent="0.25">
      <c r="B33" s="86" t="s">
        <v>33</v>
      </c>
      <c r="C33" s="87"/>
      <c r="D33" s="87"/>
      <c r="E33" s="87"/>
      <c r="F33" s="88"/>
      <c r="G33" s="88"/>
      <c r="H33" s="115">
        <f>SUM(H16:H32)</f>
        <v>1482185558.0020001</v>
      </c>
      <c r="I33" s="138"/>
      <c r="J33" s="103"/>
    </row>
    <row r="34" spans="1:10" ht="15" x14ac:dyDescent="0.25">
      <c r="B34" s="86" t="s">
        <v>292</v>
      </c>
      <c r="C34" s="87"/>
      <c r="D34" s="87"/>
      <c r="E34" s="87"/>
      <c r="F34" s="88"/>
      <c r="G34" s="88"/>
      <c r="H34" s="115">
        <f>+H33/12</f>
        <v>123515463.16683334</v>
      </c>
      <c r="I34" s="138"/>
      <c r="J34" s="103"/>
    </row>
    <row r="35" spans="1:10" s="103" customFormat="1" ht="245.25" customHeight="1" x14ac:dyDescent="0.2">
      <c r="B35" s="197" t="s">
        <v>386</v>
      </c>
      <c r="C35" s="90"/>
      <c r="D35" s="90"/>
      <c r="E35" s="90"/>
      <c r="F35" s="90"/>
      <c r="G35" s="90"/>
      <c r="H35" s="90"/>
    </row>
    <row r="36" spans="1:10" ht="15" x14ac:dyDescent="0.25">
      <c r="B36" s="339"/>
      <c r="C36" s="339"/>
      <c r="D36" s="339"/>
      <c r="E36" s="339"/>
      <c r="F36" s="339"/>
      <c r="G36" s="339"/>
      <c r="H36" s="339"/>
      <c r="I36" s="91"/>
    </row>
    <row r="37" spans="1:10" ht="15" x14ac:dyDescent="0.25">
      <c r="B37" s="339"/>
      <c r="C37" s="339"/>
      <c r="D37" s="339"/>
      <c r="E37" s="339"/>
      <c r="F37" s="339"/>
      <c r="G37" s="339"/>
      <c r="H37" s="339"/>
      <c r="I37" s="91"/>
    </row>
    <row r="38" spans="1:10" s="103" customFormat="1" ht="21.75" customHeight="1" x14ac:dyDescent="0.2">
      <c r="A38" s="92"/>
      <c r="B38" s="720" t="str">
        <f>B9</f>
        <v>8.2. Fortalecimiento del talento humano en I+D+i, y en extensionismo agrícola e industrial.</v>
      </c>
      <c r="C38" s="721"/>
      <c r="D38" s="721"/>
      <c r="E38" s="721"/>
      <c r="F38" s="721"/>
      <c r="G38" s="721"/>
      <c r="H38" s="721"/>
      <c r="I38" s="102"/>
    </row>
    <row r="39" spans="1:10" ht="15" x14ac:dyDescent="0.25">
      <c r="B39" s="79" t="s">
        <v>79</v>
      </c>
      <c r="C39" s="79" t="s">
        <v>59</v>
      </c>
      <c r="D39" s="79" t="s">
        <v>56</v>
      </c>
      <c r="E39" s="79" t="s">
        <v>55</v>
      </c>
      <c r="F39" s="79" t="s">
        <v>80</v>
      </c>
      <c r="G39" s="79" t="s">
        <v>81</v>
      </c>
      <c r="H39" s="79" t="s">
        <v>82</v>
      </c>
    </row>
    <row r="40" spans="1:10" s="103" customFormat="1" x14ac:dyDescent="0.2">
      <c r="A40" s="93"/>
      <c r="B40" s="291" t="s">
        <v>83</v>
      </c>
      <c r="C40" s="105">
        <v>4</v>
      </c>
      <c r="D40" s="105" t="s">
        <v>84</v>
      </c>
      <c r="E40" s="82">
        <v>500000</v>
      </c>
      <c r="F40" s="105"/>
      <c r="G40" s="105"/>
      <c r="H40" s="82">
        <f>+C40*E40</f>
        <v>2000000</v>
      </c>
      <c r="I40" s="53"/>
    </row>
    <row r="41" spans="1:10" s="103" customFormat="1" x14ac:dyDescent="0.2">
      <c r="B41" s="407" t="s">
        <v>85</v>
      </c>
      <c r="C41" s="47">
        <v>19</v>
      </c>
      <c r="D41" s="47" t="s">
        <v>84</v>
      </c>
      <c r="E41" s="151">
        <v>100000</v>
      </c>
      <c r="F41" s="47"/>
      <c r="G41" s="47"/>
      <c r="H41" s="151">
        <f t="shared" ref="H41:H56" si="3">+C41*E41</f>
        <v>1900000</v>
      </c>
      <c r="I41" s="53"/>
    </row>
    <row r="42" spans="1:10" s="103" customFormat="1" x14ac:dyDescent="0.2">
      <c r="A42" s="93"/>
      <c r="B42" s="290" t="s">
        <v>294</v>
      </c>
      <c r="C42" s="47">
        <v>4</v>
      </c>
      <c r="D42" s="47" t="s">
        <v>84</v>
      </c>
      <c r="E42" s="151">
        <v>2300000</v>
      </c>
      <c r="F42" s="47"/>
      <c r="G42" s="47"/>
      <c r="H42" s="151">
        <f t="shared" si="3"/>
        <v>9200000</v>
      </c>
      <c r="I42" s="53"/>
    </row>
    <row r="43" spans="1:10" s="103" customFormat="1" x14ac:dyDescent="0.2">
      <c r="A43" s="93"/>
      <c r="B43" s="290" t="s">
        <v>290</v>
      </c>
      <c r="C43" s="47">
        <v>7</v>
      </c>
      <c r="D43" s="47" t="s">
        <v>84</v>
      </c>
      <c r="E43" s="151">
        <v>2300000</v>
      </c>
      <c r="F43" s="47"/>
      <c r="G43" s="47"/>
      <c r="H43" s="151">
        <f t="shared" si="3"/>
        <v>16100000</v>
      </c>
      <c r="I43" s="53"/>
    </row>
    <row r="44" spans="1:10" s="103" customFormat="1" x14ac:dyDescent="0.2">
      <c r="B44" s="290" t="s">
        <v>302</v>
      </c>
      <c r="C44" s="47">
        <v>19</v>
      </c>
      <c r="D44" s="47" t="s">
        <v>84</v>
      </c>
      <c r="E44" s="151">
        <v>460000</v>
      </c>
      <c r="F44" s="47"/>
      <c r="G44" s="47"/>
      <c r="H44" s="151">
        <f t="shared" si="3"/>
        <v>8740000</v>
      </c>
      <c r="I44" s="53"/>
    </row>
    <row r="45" spans="1:10" s="103" customFormat="1" x14ac:dyDescent="0.2">
      <c r="B45" s="290" t="s">
        <v>208</v>
      </c>
      <c r="C45" s="47">
        <v>4</v>
      </c>
      <c r="D45" s="47" t="s">
        <v>84</v>
      </c>
      <c r="E45" s="151">
        <v>2000000</v>
      </c>
      <c r="F45" s="47"/>
      <c r="G45" s="47"/>
      <c r="H45" s="151">
        <f>+C45*E45</f>
        <v>8000000</v>
      </c>
      <c r="I45" s="53"/>
    </row>
    <row r="46" spans="1:10" s="103" customFormat="1" x14ac:dyDescent="0.2">
      <c r="B46" s="290" t="s">
        <v>305</v>
      </c>
      <c r="C46" s="47">
        <v>19</v>
      </c>
      <c r="D46" s="47" t="s">
        <v>84</v>
      </c>
      <c r="E46" s="151">
        <v>5170000</v>
      </c>
      <c r="F46" s="47"/>
      <c r="G46" s="47"/>
      <c r="H46" s="151">
        <f>+C46*E46</f>
        <v>98230000</v>
      </c>
      <c r="I46" s="53"/>
    </row>
    <row r="47" spans="1:10" s="103" customFormat="1" x14ac:dyDescent="0.2">
      <c r="B47" s="290" t="s">
        <v>255</v>
      </c>
      <c r="C47" s="47">
        <v>19</v>
      </c>
      <c r="D47" s="47" t="s">
        <v>84</v>
      </c>
      <c r="E47" s="151">
        <v>3270000</v>
      </c>
      <c r="F47" s="47"/>
      <c r="G47" s="47"/>
      <c r="H47" s="151">
        <f>+C47*E47</f>
        <v>62130000</v>
      </c>
      <c r="I47" s="53"/>
    </row>
    <row r="48" spans="1:10" x14ac:dyDescent="0.2">
      <c r="B48" s="408" t="s">
        <v>87</v>
      </c>
      <c r="C48" s="47">
        <v>19</v>
      </c>
      <c r="D48" s="47" t="s">
        <v>297</v>
      </c>
      <c r="E48" s="189">
        <v>6000000</v>
      </c>
      <c r="F48" s="47"/>
      <c r="G48" s="47"/>
      <c r="H48" s="151">
        <f>+C48*E48</f>
        <v>114000000</v>
      </c>
      <c r="I48" s="53"/>
    </row>
    <row r="49" spans="2:9" x14ac:dyDescent="0.2">
      <c r="B49" s="408" t="s">
        <v>88</v>
      </c>
      <c r="C49" s="47">
        <f>+C48*5</f>
        <v>95</v>
      </c>
      <c r="D49" s="47" t="s">
        <v>84</v>
      </c>
      <c r="E49" s="189">
        <v>1800000</v>
      </c>
      <c r="F49" s="47"/>
      <c r="G49" s="47"/>
      <c r="H49" s="151">
        <f t="shared" si="3"/>
        <v>171000000</v>
      </c>
      <c r="I49" s="53"/>
    </row>
    <row r="50" spans="2:9" x14ac:dyDescent="0.2">
      <c r="B50" s="407" t="s">
        <v>178</v>
      </c>
      <c r="C50" s="47">
        <v>19</v>
      </c>
      <c r="D50" s="47" t="s">
        <v>308</v>
      </c>
      <c r="E50" s="189">
        <v>1500000</v>
      </c>
      <c r="F50" s="409"/>
      <c r="G50" s="47"/>
      <c r="H50" s="151">
        <f t="shared" si="3"/>
        <v>28500000</v>
      </c>
      <c r="I50" s="53"/>
    </row>
    <row r="51" spans="2:9" x14ac:dyDescent="0.2">
      <c r="B51" s="407" t="s">
        <v>89</v>
      </c>
      <c r="C51" s="47">
        <f>+C50*5</f>
        <v>95</v>
      </c>
      <c r="D51" s="47" t="s">
        <v>84</v>
      </c>
      <c r="E51" s="189">
        <v>450000</v>
      </c>
      <c r="F51" s="391"/>
      <c r="G51" s="47"/>
      <c r="H51" s="151">
        <f t="shared" si="3"/>
        <v>42750000</v>
      </c>
      <c r="I51" s="53"/>
    </row>
    <row r="52" spans="2:9" x14ac:dyDescent="0.2">
      <c r="B52" s="407" t="s">
        <v>191</v>
      </c>
      <c r="C52" s="47">
        <v>19</v>
      </c>
      <c r="D52" s="47" t="s">
        <v>308</v>
      </c>
      <c r="E52" s="189">
        <v>3000000</v>
      </c>
      <c r="F52" s="391"/>
      <c r="G52" s="47"/>
      <c r="H52" s="151">
        <f t="shared" si="3"/>
        <v>57000000</v>
      </c>
      <c r="I52" s="53"/>
    </row>
    <row r="53" spans="2:9" x14ac:dyDescent="0.2">
      <c r="B53" s="407" t="s">
        <v>307</v>
      </c>
      <c r="C53" s="47">
        <f>+C52*5</f>
        <v>95</v>
      </c>
      <c r="D53" s="47" t="s">
        <v>84</v>
      </c>
      <c r="E53" s="189">
        <v>900000</v>
      </c>
      <c r="F53" s="391"/>
      <c r="G53" s="47"/>
      <c r="H53" s="151">
        <f t="shared" si="3"/>
        <v>85500000</v>
      </c>
      <c r="I53" s="53"/>
    </row>
    <row r="54" spans="2:9" x14ac:dyDescent="0.2">
      <c r="B54" s="407" t="s">
        <v>317</v>
      </c>
      <c r="C54" s="47">
        <v>7</v>
      </c>
      <c r="D54" s="47" t="s">
        <v>308</v>
      </c>
      <c r="E54" s="189">
        <v>30000000</v>
      </c>
      <c r="F54" s="391">
        <v>0.3</v>
      </c>
      <c r="G54" s="47"/>
      <c r="H54" s="151">
        <f t="shared" si="3"/>
        <v>210000000</v>
      </c>
      <c r="I54" s="53"/>
    </row>
    <row r="55" spans="2:9" x14ac:dyDescent="0.2">
      <c r="B55" s="407" t="s">
        <v>318</v>
      </c>
      <c r="C55" s="47">
        <v>7</v>
      </c>
      <c r="D55" s="47" t="s">
        <v>308</v>
      </c>
      <c r="E55" s="189">
        <v>45000000</v>
      </c>
      <c r="F55" s="391">
        <v>0.3</v>
      </c>
      <c r="G55" s="47"/>
      <c r="H55" s="151">
        <f t="shared" si="3"/>
        <v>315000000</v>
      </c>
      <c r="I55" s="53"/>
    </row>
    <row r="56" spans="2:9" x14ac:dyDescent="0.2">
      <c r="B56" s="407" t="s">
        <v>319</v>
      </c>
      <c r="C56" s="47">
        <v>4</v>
      </c>
      <c r="D56" s="47" t="s">
        <v>308</v>
      </c>
      <c r="E56" s="189">
        <v>100000000</v>
      </c>
      <c r="F56" s="391">
        <v>0.3</v>
      </c>
      <c r="G56" s="47"/>
      <c r="H56" s="151">
        <f t="shared" si="3"/>
        <v>400000000</v>
      </c>
      <c r="I56" s="53"/>
    </row>
    <row r="57" spans="2:9" x14ac:dyDescent="0.2">
      <c r="B57" s="407" t="s">
        <v>90</v>
      </c>
      <c r="C57" s="47">
        <v>2</v>
      </c>
      <c r="D57" s="47" t="s">
        <v>308</v>
      </c>
      <c r="E57" s="189">
        <v>7862772</v>
      </c>
      <c r="F57" s="391">
        <v>1</v>
      </c>
      <c r="G57" s="47">
        <v>12</v>
      </c>
      <c r="H57" s="151">
        <f>+C57*E57*F57*G57</f>
        <v>188706528</v>
      </c>
      <c r="I57" s="53"/>
    </row>
    <row r="58" spans="2:9" x14ac:dyDescent="0.2">
      <c r="B58" s="407" t="s">
        <v>91</v>
      </c>
      <c r="C58" s="47">
        <v>2</v>
      </c>
      <c r="D58" s="47" t="s">
        <v>185</v>
      </c>
      <c r="E58" s="189">
        <v>2282805</v>
      </c>
      <c r="F58" s="47"/>
      <c r="G58" s="47">
        <v>3</v>
      </c>
      <c r="H58" s="151">
        <f>+C58*E58*G58</f>
        <v>13696830</v>
      </c>
      <c r="I58" s="53"/>
    </row>
    <row r="59" spans="2:9" x14ac:dyDescent="0.2">
      <c r="B59" s="407" t="s">
        <v>320</v>
      </c>
      <c r="C59" s="47">
        <v>2</v>
      </c>
      <c r="D59" s="47" t="s">
        <v>185</v>
      </c>
      <c r="E59" s="189">
        <v>2000000</v>
      </c>
      <c r="F59" s="47"/>
      <c r="G59" s="47">
        <v>2</v>
      </c>
      <c r="H59" s="151">
        <f>+C59*E59*G59</f>
        <v>8000000</v>
      </c>
      <c r="I59" s="53"/>
    </row>
    <row r="60" spans="2:9" x14ac:dyDescent="0.2">
      <c r="B60" s="407" t="s">
        <v>313</v>
      </c>
      <c r="C60" s="47">
        <v>2</v>
      </c>
      <c r="D60" s="47" t="s">
        <v>185</v>
      </c>
      <c r="E60" s="189">
        <v>1690926</v>
      </c>
      <c r="F60" s="47"/>
      <c r="G60" s="47">
        <v>2</v>
      </c>
      <c r="H60" s="151">
        <f>+C60*E60*G60</f>
        <v>6763704</v>
      </c>
      <c r="I60" s="53"/>
    </row>
    <row r="61" spans="2:9" x14ac:dyDescent="0.2">
      <c r="B61" s="407" t="s">
        <v>249</v>
      </c>
      <c r="C61" s="47">
        <v>7</v>
      </c>
      <c r="D61" s="47" t="s">
        <v>308</v>
      </c>
      <c r="E61" s="189">
        <v>6604729</v>
      </c>
      <c r="F61" s="391">
        <v>1</v>
      </c>
      <c r="G61" s="47">
        <v>12</v>
      </c>
      <c r="H61" s="151">
        <f>+C61*E61*F61*G61</f>
        <v>554797236</v>
      </c>
      <c r="I61" s="53"/>
    </row>
    <row r="62" spans="2:9" x14ac:dyDescent="0.2">
      <c r="B62" s="407" t="s">
        <v>57</v>
      </c>
      <c r="C62" s="47">
        <f>+C61</f>
        <v>7</v>
      </c>
      <c r="D62" s="47" t="s">
        <v>185</v>
      </c>
      <c r="E62" s="189">
        <v>1300000</v>
      </c>
      <c r="F62" s="47"/>
      <c r="G62" s="47">
        <v>12</v>
      </c>
      <c r="H62" s="151">
        <f>+C62*E62*G62</f>
        <v>109200000</v>
      </c>
      <c r="I62" s="53"/>
    </row>
    <row r="63" spans="2:9" x14ac:dyDescent="0.2">
      <c r="B63" s="407" t="s">
        <v>194</v>
      </c>
      <c r="C63" s="47">
        <f>+C61</f>
        <v>7</v>
      </c>
      <c r="D63" s="47" t="s">
        <v>185</v>
      </c>
      <c r="E63" s="189">
        <v>155000</v>
      </c>
      <c r="F63" s="47"/>
      <c r="G63" s="47">
        <v>12</v>
      </c>
      <c r="H63" s="151">
        <f>+C63*E63*G63</f>
        <v>13020000</v>
      </c>
      <c r="I63" s="53"/>
    </row>
    <row r="64" spans="2:9" x14ac:dyDescent="0.2">
      <c r="B64" s="407" t="s">
        <v>321</v>
      </c>
      <c r="C64" s="410"/>
      <c r="D64" s="410"/>
      <c r="E64" s="200"/>
      <c r="F64" s="411"/>
      <c r="G64" s="410"/>
      <c r="H64" s="200" t="s">
        <v>78</v>
      </c>
      <c r="I64" s="53"/>
    </row>
    <row r="65" spans="2:9" ht="15" x14ac:dyDescent="0.25">
      <c r="B65" s="86" t="s">
        <v>96</v>
      </c>
      <c r="C65" s="87"/>
      <c r="D65" s="87"/>
      <c r="E65" s="88"/>
      <c r="F65" s="88"/>
      <c r="G65" s="87"/>
      <c r="H65" s="99">
        <f>SUM(H40:H64)</f>
        <v>2524234298</v>
      </c>
      <c r="I65" s="53"/>
    </row>
    <row r="66" spans="2:9" ht="15" x14ac:dyDescent="0.25">
      <c r="B66" s="86" t="s">
        <v>292</v>
      </c>
      <c r="C66" s="87"/>
      <c r="D66" s="87"/>
      <c r="E66" s="88"/>
      <c r="F66" s="88"/>
      <c r="G66" s="87"/>
      <c r="H66" s="99">
        <f>+H65/12</f>
        <v>210352858.16666666</v>
      </c>
      <c r="I66" s="53"/>
    </row>
    <row r="67" spans="2:9" ht="199.5" customHeight="1" x14ac:dyDescent="0.2">
      <c r="B67" s="201" t="s">
        <v>387</v>
      </c>
      <c r="C67" s="103"/>
      <c r="D67" s="103"/>
      <c r="E67" s="103"/>
      <c r="F67" s="78"/>
      <c r="G67" s="78"/>
      <c r="H67" s="103"/>
    </row>
    <row r="68" spans="2:9" x14ac:dyDescent="0.2">
      <c r="B68" s="103"/>
      <c r="C68" s="103"/>
      <c r="D68" s="103"/>
      <c r="E68" s="103"/>
      <c r="F68" s="103"/>
      <c r="G68" s="103"/>
    </row>
  </sheetData>
  <sheetProtection algorithmName="SHA-512" hashValue="MI/b1ZqfMI7TswCil/G2OImqXUxeqFJPfwnBmecr6EgcwyEbEBvolLazBLAkhxoIxjoq5zG997EinN70jO3gHQ==" saltValue="4CuaZ13WjWVfiPxCC5nr9A==" spinCount="100000" sheet="1" objects="1" scenarios="1"/>
  <mergeCells count="2">
    <mergeCell ref="B13:H14"/>
    <mergeCell ref="B38:H3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5"/>
  <sheetViews>
    <sheetView showGridLines="0" topLeftCell="P12" zoomScale="70" zoomScaleNormal="70" workbookViewId="0">
      <selection activeCell="AB12" sqref="AB12"/>
    </sheetView>
  </sheetViews>
  <sheetFormatPr baseColWidth="10" defaultColWidth="10.7109375" defaultRowHeight="14.25" x14ac:dyDescent="0.2"/>
  <cols>
    <col min="1" max="1" width="13.42578125" style="228" customWidth="1"/>
    <col min="2" max="2" width="67.42578125" style="228" customWidth="1"/>
    <col min="3" max="3" width="26.42578125" style="228" customWidth="1"/>
    <col min="4" max="4" width="23" style="228" customWidth="1"/>
    <col min="5" max="5" width="22.42578125" style="228" customWidth="1"/>
    <col min="6" max="6" width="20.42578125" style="228" bestFit="1" customWidth="1"/>
    <col min="7" max="7" width="18.42578125" style="228" bestFit="1" customWidth="1"/>
    <col min="8" max="8" width="19.42578125" style="228" bestFit="1" customWidth="1"/>
    <col min="9" max="9" width="21.42578125" style="228" hidden="1" customWidth="1"/>
    <col min="10" max="11" width="17.42578125" style="228" bestFit="1" customWidth="1"/>
    <col min="12" max="12" width="19.140625" style="228" bestFit="1" customWidth="1"/>
    <col min="13" max="13" width="17.42578125" style="228" bestFit="1" customWidth="1"/>
    <col min="14" max="14" width="18.42578125" style="228" bestFit="1" customWidth="1"/>
    <col min="15" max="15" width="17.42578125" style="228" bestFit="1" customWidth="1"/>
    <col min="16" max="16" width="17.42578125" style="228" customWidth="1"/>
    <col min="17" max="17" width="18.42578125" style="228" bestFit="1" customWidth="1"/>
    <col min="18" max="22" width="17.42578125" style="228" bestFit="1" customWidth="1"/>
    <col min="23" max="23" width="18.42578125" style="228" bestFit="1" customWidth="1"/>
    <col min="24" max="24" width="19.140625" style="228" bestFit="1" customWidth="1"/>
    <col min="25" max="25" width="19.85546875" style="228" customWidth="1"/>
    <col min="26" max="26" width="19.140625" style="228" bestFit="1" customWidth="1"/>
    <col min="27" max="27" width="17" style="228" bestFit="1" customWidth="1"/>
    <col min="28" max="28" width="17.85546875" style="228" customWidth="1"/>
    <col min="29" max="16384" width="10.7109375" style="228"/>
  </cols>
  <sheetData>
    <row r="2" spans="1:26" ht="15" x14ac:dyDescent="0.25">
      <c r="A2" s="227" t="s">
        <v>98</v>
      </c>
    </row>
    <row r="3" spans="1:26" s="68" customFormat="1" ht="15" x14ac:dyDescent="0.25">
      <c r="A3" s="229"/>
    </row>
    <row r="4" spans="1:26" ht="21.75" customHeight="1" x14ac:dyDescent="0.25">
      <c r="A4" s="227"/>
      <c r="B4" s="230" t="str">
        <f>'PPP_V3_y Costos'!C23</f>
        <v>9. Fortalecimiento de la gestión institucional de la cadena de maíz</v>
      </c>
      <c r="C4" s="231"/>
      <c r="D4" s="232"/>
    </row>
    <row r="5" spans="1:26" ht="26.25" customHeight="1" x14ac:dyDescent="0.2"/>
    <row r="6" spans="1:26" ht="15" x14ac:dyDescent="0.25">
      <c r="E6" s="233">
        <v>1</v>
      </c>
      <c r="F6" s="233">
        <v>2</v>
      </c>
      <c r="G6" s="233">
        <v>3</v>
      </c>
      <c r="H6" s="233">
        <v>4</v>
      </c>
      <c r="I6" s="233">
        <v>5</v>
      </c>
      <c r="J6" s="233">
        <v>6</v>
      </c>
      <c r="K6" s="233">
        <v>7</v>
      </c>
      <c r="L6" s="233">
        <v>8</v>
      </c>
      <c r="M6" s="233">
        <v>9</v>
      </c>
      <c r="N6" s="233">
        <v>10</v>
      </c>
      <c r="O6" s="233">
        <v>11</v>
      </c>
      <c r="P6" s="233">
        <v>12</v>
      </c>
      <c r="Q6" s="233">
        <v>13</v>
      </c>
      <c r="R6" s="233">
        <v>14</v>
      </c>
      <c r="S6" s="233">
        <v>15</v>
      </c>
      <c r="T6" s="233">
        <v>16</v>
      </c>
      <c r="U6" s="233">
        <v>17</v>
      </c>
      <c r="V6" s="233">
        <v>18</v>
      </c>
      <c r="W6" s="233">
        <v>19</v>
      </c>
      <c r="X6" s="233">
        <v>20</v>
      </c>
      <c r="Y6" s="233" t="s">
        <v>33</v>
      </c>
    </row>
    <row r="7" spans="1:26" s="238" customFormat="1" ht="15" x14ac:dyDescent="0.25">
      <c r="A7" s="228"/>
      <c r="B7" s="234" t="s">
        <v>29</v>
      </c>
      <c r="C7" s="235" t="s">
        <v>77</v>
      </c>
      <c r="D7" s="65" t="s">
        <v>176</v>
      </c>
      <c r="E7" s="236">
        <f t="shared" ref="E7" si="0">SUM(E8:E13)</f>
        <v>2881306180</v>
      </c>
      <c r="F7" s="236">
        <f>SUM(F8:F13)</f>
        <v>2504495959.75</v>
      </c>
      <c r="G7" s="236">
        <f t="shared" ref="G7:X7" si="1">SUM(G8:G13)</f>
        <v>675685534</v>
      </c>
      <c r="H7" s="236">
        <f t="shared" si="1"/>
        <v>0</v>
      </c>
      <c r="I7" s="236">
        <f t="shared" si="1"/>
        <v>0</v>
      </c>
      <c r="J7" s="236">
        <f t="shared" si="1"/>
        <v>1547336232.75</v>
      </c>
      <c r="K7" s="236">
        <f t="shared" si="1"/>
        <v>0</v>
      </c>
      <c r="L7" s="236">
        <f t="shared" si="1"/>
        <v>0</v>
      </c>
      <c r="M7" s="236">
        <f>SUM(M8:M13)</f>
        <v>0</v>
      </c>
      <c r="N7" s="236">
        <f t="shared" si="1"/>
        <v>652978695.75</v>
      </c>
      <c r="O7" s="236">
        <f t="shared" si="1"/>
        <v>894357537</v>
      </c>
      <c r="P7" s="236">
        <f t="shared" si="1"/>
        <v>0</v>
      </c>
      <c r="Q7" s="236">
        <f t="shared" si="1"/>
        <v>0</v>
      </c>
      <c r="R7" s="236">
        <f t="shared" si="1"/>
        <v>0</v>
      </c>
      <c r="S7" s="236">
        <f t="shared" si="1"/>
        <v>652978695.75</v>
      </c>
      <c r="T7" s="236">
        <f t="shared" si="1"/>
        <v>894357537</v>
      </c>
      <c r="U7" s="236">
        <f t="shared" si="1"/>
        <v>0</v>
      </c>
      <c r="V7" s="236">
        <f t="shared" si="1"/>
        <v>0</v>
      </c>
      <c r="W7" s="236">
        <f t="shared" si="1"/>
        <v>0</v>
      </c>
      <c r="X7" s="236">
        <f t="shared" si="1"/>
        <v>982697615.75</v>
      </c>
      <c r="Y7" s="236">
        <f>SUM(E7:X7)</f>
        <v>11686193987.75</v>
      </c>
      <c r="Z7" s="237"/>
    </row>
    <row r="8" spans="1:26" s="71" customFormat="1" ht="53.45" customHeight="1" x14ac:dyDescent="0.2">
      <c r="A8" s="68"/>
      <c r="B8" s="69" t="str">
        <f>'PPP_V3_y Costos'!D23</f>
        <v>9.1. Fortalecimiento del Sistema de Inspección, Vigilancia y Control para la cadena de maíz.</v>
      </c>
      <c r="C8" s="144" t="s">
        <v>272</v>
      </c>
      <c r="D8" s="114" t="s">
        <v>201</v>
      </c>
      <c r="E8" s="145">
        <f>I37*9</f>
        <v>881873797.5</v>
      </c>
      <c r="F8" s="70">
        <f>+H37</f>
        <v>1175831730</v>
      </c>
      <c r="G8" s="114" t="s">
        <v>273</v>
      </c>
      <c r="H8" s="114" t="s">
        <v>273</v>
      </c>
      <c r="I8" s="114" t="s">
        <v>273</v>
      </c>
      <c r="J8" s="114" t="s">
        <v>273</v>
      </c>
      <c r="K8" s="114" t="s">
        <v>273</v>
      </c>
      <c r="L8" s="114" t="s">
        <v>273</v>
      </c>
      <c r="M8" s="114" t="s">
        <v>273</v>
      </c>
      <c r="N8" s="114" t="s">
        <v>273</v>
      </c>
      <c r="O8" s="114" t="s">
        <v>273</v>
      </c>
      <c r="P8" s="114" t="str">
        <f>K8</f>
        <v xml:space="preserve">Por definir </v>
      </c>
      <c r="Q8" s="114" t="s">
        <v>273</v>
      </c>
      <c r="R8" s="114" t="s">
        <v>273</v>
      </c>
      <c r="S8" s="114" t="s">
        <v>273</v>
      </c>
      <c r="T8" s="114" t="s">
        <v>273</v>
      </c>
      <c r="U8" s="70" t="str">
        <f>P8</f>
        <v xml:space="preserve">Por definir </v>
      </c>
      <c r="V8" s="114" t="s">
        <v>273</v>
      </c>
      <c r="W8" s="114" t="s">
        <v>273</v>
      </c>
      <c r="X8" s="114" t="s">
        <v>273</v>
      </c>
      <c r="Y8" s="70">
        <f>SUM(E8:X8)</f>
        <v>2057705527.5</v>
      </c>
      <c r="Z8" s="237"/>
    </row>
    <row r="9" spans="1:26" s="71" customFormat="1" ht="53.45" customHeight="1" x14ac:dyDescent="0.2">
      <c r="A9" s="68"/>
      <c r="B9" s="69" t="str">
        <f>'PPP_V3_y Costos'!D24</f>
        <v>9.2. Diseño y mejora de los instrumentos de financiamiento, comercialización, gestión de riesgos y empresarización para la cadena de maíz.</v>
      </c>
      <c r="C9" s="144" t="s">
        <v>272</v>
      </c>
      <c r="D9" s="114" t="s">
        <v>201</v>
      </c>
      <c r="E9" s="145">
        <f>I52*9</f>
        <v>247289190</v>
      </c>
      <c r="F9" s="114" t="s">
        <v>78</v>
      </c>
      <c r="G9" s="114" t="s">
        <v>273</v>
      </c>
      <c r="H9" s="114" t="s">
        <v>273</v>
      </c>
      <c r="I9" s="114" t="s">
        <v>273</v>
      </c>
      <c r="J9" s="114">
        <f>+H52</f>
        <v>329718920</v>
      </c>
      <c r="K9" s="114"/>
      <c r="L9" s="114"/>
      <c r="M9" s="114"/>
      <c r="N9" s="70"/>
      <c r="O9" s="70">
        <f>+H52</f>
        <v>329718920</v>
      </c>
      <c r="P9" s="70"/>
      <c r="Q9" s="70"/>
      <c r="R9" s="70"/>
      <c r="S9" s="70"/>
      <c r="T9" s="70">
        <f>+H52</f>
        <v>329718920</v>
      </c>
      <c r="U9" s="70"/>
      <c r="V9" s="70"/>
      <c r="W9" s="70"/>
      <c r="X9" s="70">
        <f>+H52</f>
        <v>329718920</v>
      </c>
      <c r="Y9" s="70">
        <f t="shared" ref="Y9:Y13" si="2">SUM(E9:X9)</f>
        <v>1566164870</v>
      </c>
      <c r="Z9" s="237"/>
    </row>
    <row r="10" spans="1:26" s="71" customFormat="1" ht="53.45" customHeight="1" x14ac:dyDescent="0.2">
      <c r="A10" s="68"/>
      <c r="B10" s="69" t="str">
        <f>'PPP_V3_y Costos'!D25</f>
        <v>9.3. Fortalecimiento de mecanismos institucionales para el impulso a las inversiones en producción de maíz a mediana y gran escala.</v>
      </c>
      <c r="C10" s="114" t="s">
        <v>272</v>
      </c>
      <c r="D10" s="71" t="s">
        <v>365</v>
      </c>
      <c r="E10" s="145">
        <f>I75*9</f>
        <v>652978695.75</v>
      </c>
      <c r="F10" s="114">
        <f>E10</f>
        <v>652978695.75</v>
      </c>
      <c r="G10" s="114" t="s">
        <v>273</v>
      </c>
      <c r="H10" s="114" t="s">
        <v>273</v>
      </c>
      <c r="I10" s="114" t="s">
        <v>78</v>
      </c>
      <c r="J10" s="114">
        <f>F10</f>
        <v>652978695.75</v>
      </c>
      <c r="K10" s="114" t="str">
        <f>G10</f>
        <v xml:space="preserve">Por definir </v>
      </c>
      <c r="L10" s="114" t="s">
        <v>78</v>
      </c>
      <c r="M10" s="114" t="s">
        <v>273</v>
      </c>
      <c r="N10" s="70">
        <f>J10</f>
        <v>652978695.75</v>
      </c>
      <c r="O10" s="70" t="str">
        <f>K10</f>
        <v xml:space="preserve">Por definir </v>
      </c>
      <c r="P10" s="70" t="s">
        <v>273</v>
      </c>
      <c r="Q10" s="70" t="s">
        <v>273</v>
      </c>
      <c r="R10" s="70" t="s">
        <v>78</v>
      </c>
      <c r="S10" s="70">
        <f>N10</f>
        <v>652978695.75</v>
      </c>
      <c r="T10" s="70" t="str">
        <f>O10</f>
        <v xml:space="preserve">Por definir </v>
      </c>
      <c r="U10" s="70" t="s">
        <v>78</v>
      </c>
      <c r="V10" s="70" t="s">
        <v>273</v>
      </c>
      <c r="W10" s="70" t="s">
        <v>273</v>
      </c>
      <c r="X10" s="70">
        <f>S10</f>
        <v>652978695.75</v>
      </c>
      <c r="Y10" s="70">
        <f t="shared" si="2"/>
        <v>3917872174.5</v>
      </c>
      <c r="Z10" s="237"/>
    </row>
    <row r="11" spans="1:26" s="71" customFormat="1" ht="53.45" customHeight="1" x14ac:dyDescent="0.2">
      <c r="A11" s="68"/>
      <c r="B11" s="69" t="str">
        <f>'PPP_V3_y Costos'!D26</f>
        <v>9.4. Diseño y operación del Sistema nacional de Información para la cadena de maíz.</v>
      </c>
      <c r="C11" s="144" t="s">
        <v>272</v>
      </c>
      <c r="D11" s="114" t="s">
        <v>201</v>
      </c>
      <c r="E11" s="145">
        <f>I92*9</f>
        <v>423478962.75</v>
      </c>
      <c r="F11" s="70" t="s">
        <v>78</v>
      </c>
      <c r="G11" s="70" t="s">
        <v>273</v>
      </c>
      <c r="H11" s="114" t="s">
        <v>273</v>
      </c>
      <c r="I11" s="114" t="s">
        <v>78</v>
      </c>
      <c r="J11" s="114">
        <f>+H92</f>
        <v>564638617</v>
      </c>
      <c r="K11" s="114" t="s">
        <v>273</v>
      </c>
      <c r="L11" s="114" t="s">
        <v>78</v>
      </c>
      <c r="M11" s="114" t="s">
        <v>273</v>
      </c>
      <c r="N11" s="114" t="s">
        <v>273</v>
      </c>
      <c r="O11" s="114">
        <f>+H92</f>
        <v>564638617</v>
      </c>
      <c r="P11" s="114" t="s">
        <v>273</v>
      </c>
      <c r="Q11" s="114" t="s">
        <v>273</v>
      </c>
      <c r="R11" s="114" t="s">
        <v>78</v>
      </c>
      <c r="S11" s="114" t="s">
        <v>273</v>
      </c>
      <c r="T11" s="114">
        <f>+H92</f>
        <v>564638617</v>
      </c>
      <c r="U11" s="114" t="s">
        <v>78</v>
      </c>
      <c r="V11" s="114" t="s">
        <v>273</v>
      </c>
      <c r="W11" s="114" t="s">
        <v>273</v>
      </c>
      <c r="X11" s="114" t="s">
        <v>273</v>
      </c>
      <c r="Y11" s="70">
        <f t="shared" si="2"/>
        <v>2117394813.75</v>
      </c>
      <c r="Z11" s="237"/>
    </row>
    <row r="12" spans="1:26" s="71" customFormat="1" ht="53.45" customHeight="1" x14ac:dyDescent="0.2">
      <c r="A12" s="68"/>
      <c r="B12" s="69" t="str">
        <f>'PPP_V3_y Costos'!D27</f>
        <v>9.5. Constitución y fortalecimiento de la Organización de Cadena de maíz.</v>
      </c>
      <c r="C12" s="144" t="s">
        <v>274</v>
      </c>
      <c r="D12" s="114" t="s">
        <v>201</v>
      </c>
      <c r="E12" s="145">
        <f>+H108</f>
        <v>320314491</v>
      </c>
      <c r="F12" s="70">
        <f>+H108</f>
        <v>320314491</v>
      </c>
      <c r="G12" s="70">
        <f>+H108</f>
        <v>320314491</v>
      </c>
      <c r="H12" s="114" t="s">
        <v>273</v>
      </c>
      <c r="I12" s="114" t="s">
        <v>273</v>
      </c>
      <c r="J12" s="114" t="s">
        <v>273</v>
      </c>
      <c r="K12" s="114" t="s">
        <v>273</v>
      </c>
      <c r="L12" s="114" t="s">
        <v>273</v>
      </c>
      <c r="M12" s="114" t="s">
        <v>273</v>
      </c>
      <c r="N12" s="114" t="s">
        <v>273</v>
      </c>
      <c r="O12" s="114" t="s">
        <v>273</v>
      </c>
      <c r="P12" s="114" t="s">
        <v>273</v>
      </c>
      <c r="Q12" s="114" t="s">
        <v>273</v>
      </c>
      <c r="R12" s="114" t="s">
        <v>273</v>
      </c>
      <c r="S12" s="114" t="s">
        <v>273</v>
      </c>
      <c r="T12" s="114" t="s">
        <v>273</v>
      </c>
      <c r="U12" s="114" t="s">
        <v>273</v>
      </c>
      <c r="V12" s="114" t="s">
        <v>273</v>
      </c>
      <c r="W12" s="114" t="s">
        <v>273</v>
      </c>
      <c r="X12" s="114" t="s">
        <v>273</v>
      </c>
      <c r="Y12" s="70">
        <f t="shared" si="2"/>
        <v>960943473</v>
      </c>
      <c r="Z12" s="237"/>
    </row>
    <row r="13" spans="1:26" s="71" customFormat="1" ht="42.95" customHeight="1" x14ac:dyDescent="0.2">
      <c r="A13" s="68"/>
      <c r="B13" s="69" t="str">
        <f>'PPP_V3_y Costos'!D28</f>
        <v>9.6. Adopción, promoción y monitoreo de la política pública para la cadena de maíz.</v>
      </c>
      <c r="C13" s="144" t="s">
        <v>274</v>
      </c>
      <c r="D13" s="114" t="s">
        <v>201</v>
      </c>
      <c r="E13" s="146">
        <f>+H124</f>
        <v>355371043</v>
      </c>
      <c r="F13" s="70">
        <f>+H124</f>
        <v>355371043</v>
      </c>
      <c r="G13" s="70">
        <f>+H124</f>
        <v>355371043</v>
      </c>
      <c r="H13" s="114" t="s">
        <v>273</v>
      </c>
      <c r="I13" s="114" t="s">
        <v>273</v>
      </c>
      <c r="J13" s="114" t="s">
        <v>273</v>
      </c>
      <c r="K13" s="114" t="s">
        <v>273</v>
      </c>
      <c r="L13" s="114" t="s">
        <v>273</v>
      </c>
      <c r="M13" s="114" t="s">
        <v>273</v>
      </c>
      <c r="N13" s="114" t="s">
        <v>273</v>
      </c>
      <c r="O13" s="114" t="s">
        <v>273</v>
      </c>
      <c r="P13" s="114" t="s">
        <v>273</v>
      </c>
      <c r="Q13" s="114" t="s">
        <v>273</v>
      </c>
      <c r="R13" s="114" t="s">
        <v>273</v>
      </c>
      <c r="S13" s="114" t="s">
        <v>273</v>
      </c>
      <c r="T13" s="114" t="s">
        <v>273</v>
      </c>
      <c r="U13" s="114" t="s">
        <v>273</v>
      </c>
      <c r="V13" s="114" t="s">
        <v>273</v>
      </c>
      <c r="W13" s="114" t="s">
        <v>273</v>
      </c>
      <c r="X13" s="114" t="s">
        <v>273</v>
      </c>
      <c r="Y13" s="70">
        <f t="shared" si="2"/>
        <v>1066113129</v>
      </c>
      <c r="Z13" s="237"/>
    </row>
    <row r="14" spans="1:26" s="238" customFormat="1" ht="24.75" customHeight="1" x14ac:dyDescent="0.25">
      <c r="A14" s="228"/>
      <c r="B14" s="234" t="s">
        <v>33</v>
      </c>
      <c r="C14" s="234"/>
      <c r="D14" s="234"/>
      <c r="E14" s="239">
        <f>SUM(E8:E13)</f>
        <v>2881306180</v>
      </c>
      <c r="F14" s="239">
        <f t="shared" ref="F14:X14" si="3">SUM(F8:F13)</f>
        <v>2504495959.75</v>
      </c>
      <c r="G14" s="239">
        <f t="shared" si="3"/>
        <v>675685534</v>
      </c>
      <c r="H14" s="239">
        <f t="shared" si="3"/>
        <v>0</v>
      </c>
      <c r="I14" s="239">
        <f t="shared" si="3"/>
        <v>0</v>
      </c>
      <c r="J14" s="239">
        <f t="shared" si="3"/>
        <v>1547336232.75</v>
      </c>
      <c r="K14" s="239">
        <f t="shared" si="3"/>
        <v>0</v>
      </c>
      <c r="L14" s="239">
        <f t="shared" si="3"/>
        <v>0</v>
      </c>
      <c r="M14" s="239">
        <f t="shared" si="3"/>
        <v>0</v>
      </c>
      <c r="N14" s="239">
        <f t="shared" si="3"/>
        <v>652978695.75</v>
      </c>
      <c r="O14" s="239">
        <f t="shared" si="3"/>
        <v>894357537</v>
      </c>
      <c r="P14" s="239">
        <f t="shared" si="3"/>
        <v>0</v>
      </c>
      <c r="Q14" s="239">
        <f t="shared" si="3"/>
        <v>0</v>
      </c>
      <c r="R14" s="239">
        <f t="shared" si="3"/>
        <v>0</v>
      </c>
      <c r="S14" s="239">
        <f t="shared" si="3"/>
        <v>652978695.75</v>
      </c>
      <c r="T14" s="239">
        <f t="shared" si="3"/>
        <v>894357537</v>
      </c>
      <c r="U14" s="239">
        <f t="shared" si="3"/>
        <v>0</v>
      </c>
      <c r="V14" s="239">
        <f t="shared" si="3"/>
        <v>0</v>
      </c>
      <c r="W14" s="239">
        <f t="shared" si="3"/>
        <v>0</v>
      </c>
      <c r="X14" s="239">
        <f t="shared" si="3"/>
        <v>982697615.75</v>
      </c>
      <c r="Y14" s="239">
        <f>SUM(Y8:Y13)</f>
        <v>11686193987.75</v>
      </c>
      <c r="Z14" s="237"/>
    </row>
    <row r="15" spans="1:26" s="243" customFormat="1" ht="24.75" customHeight="1" x14ac:dyDescent="0.25">
      <c r="A15" s="68"/>
      <c r="B15" s="240"/>
      <c r="C15" s="240"/>
      <c r="D15" s="240"/>
      <c r="E15" s="240"/>
      <c r="F15" s="241"/>
      <c r="G15" s="242"/>
      <c r="H15" s="241"/>
      <c r="I15" s="241"/>
      <c r="J15" s="241"/>
      <c r="K15" s="241"/>
      <c r="L15" s="241"/>
      <c r="M15" s="241"/>
      <c r="N15" s="241"/>
      <c r="O15" s="241"/>
      <c r="P15" s="241"/>
      <c r="Q15" s="241"/>
      <c r="R15" s="241"/>
      <c r="S15" s="241"/>
      <c r="T15" s="241"/>
      <c r="U15" s="241"/>
      <c r="V15" s="241"/>
      <c r="W15" s="241"/>
      <c r="X15" s="241"/>
      <c r="Y15" s="241"/>
      <c r="Z15" s="241"/>
    </row>
    <row r="17" spans="2:24" s="68" customFormat="1" ht="14.45" customHeight="1" x14ac:dyDescent="0.25">
      <c r="B17" s="723" t="str">
        <f>B8</f>
        <v>9.1. Fortalecimiento del Sistema de Inspección, Vigilancia y Control para la cadena de maíz.</v>
      </c>
      <c r="C17" s="724"/>
      <c r="D17" s="724"/>
      <c r="E17" s="724"/>
      <c r="F17" s="724"/>
      <c r="G17" s="724"/>
      <c r="H17" s="724"/>
      <c r="I17" s="244"/>
      <c r="X17" s="245"/>
    </row>
    <row r="18" spans="2:24" s="68" customFormat="1" ht="14.45" customHeight="1" x14ac:dyDescent="0.25">
      <c r="B18" s="725"/>
      <c r="C18" s="725"/>
      <c r="D18" s="725"/>
      <c r="E18" s="725"/>
      <c r="F18" s="725"/>
      <c r="G18" s="725"/>
      <c r="H18" s="725"/>
      <c r="I18" s="244"/>
      <c r="X18" s="245"/>
    </row>
    <row r="19" spans="2:24" ht="15" x14ac:dyDescent="0.25">
      <c r="B19" s="246" t="s">
        <v>79</v>
      </c>
      <c r="C19" s="246" t="s">
        <v>59</v>
      </c>
      <c r="D19" s="246" t="s">
        <v>56</v>
      </c>
      <c r="E19" s="246" t="s">
        <v>55</v>
      </c>
      <c r="F19" s="247" t="s">
        <v>108</v>
      </c>
      <c r="G19" s="246" t="s">
        <v>81</v>
      </c>
      <c r="H19" s="246" t="s">
        <v>82</v>
      </c>
      <c r="X19" s="248"/>
    </row>
    <row r="20" spans="2:24" x14ac:dyDescent="0.2">
      <c r="B20" s="105" t="s">
        <v>275</v>
      </c>
      <c r="C20" s="249">
        <v>8</v>
      </c>
      <c r="D20" s="250" t="s">
        <v>276</v>
      </c>
      <c r="E20" s="251">
        <v>2300000</v>
      </c>
      <c r="F20" s="249"/>
      <c r="G20" s="249"/>
      <c r="H20" s="251">
        <f>+C20*E20</f>
        <v>18400000</v>
      </c>
      <c r="J20" s="389"/>
    </row>
    <row r="21" spans="2:24" x14ac:dyDescent="0.2">
      <c r="B21" s="105" t="s">
        <v>162</v>
      </c>
      <c r="C21" s="108">
        <v>19</v>
      </c>
      <c r="D21" s="250" t="s">
        <v>276</v>
      </c>
      <c r="E21" s="251">
        <v>460000</v>
      </c>
      <c r="F21" s="249"/>
      <c r="G21" s="249"/>
      <c r="H21" s="251">
        <f t="shared" ref="H21:H27" si="4">+C21*E21</f>
        <v>8740000</v>
      </c>
      <c r="I21" s="68"/>
      <c r="J21" s="389"/>
    </row>
    <row r="22" spans="2:24" x14ac:dyDescent="0.2">
      <c r="B22" s="105" t="s">
        <v>238</v>
      </c>
      <c r="C22" s="108">
        <f>19*2</f>
        <v>38</v>
      </c>
      <c r="D22" s="250" t="s">
        <v>276</v>
      </c>
      <c r="E22" s="251">
        <v>100000</v>
      </c>
      <c r="F22" s="249"/>
      <c r="G22" s="249"/>
      <c r="H22" s="251">
        <f t="shared" si="4"/>
        <v>3800000</v>
      </c>
      <c r="I22" s="68"/>
      <c r="J22" s="389"/>
    </row>
    <row r="23" spans="2:24" x14ac:dyDescent="0.2">
      <c r="B23" s="105" t="s">
        <v>83</v>
      </c>
      <c r="C23" s="108">
        <v>7</v>
      </c>
      <c r="D23" s="250" t="s">
        <v>276</v>
      </c>
      <c r="E23" s="251">
        <v>500000</v>
      </c>
      <c r="F23" s="249"/>
      <c r="G23" s="249"/>
      <c r="H23" s="251">
        <f t="shared" si="4"/>
        <v>3500000</v>
      </c>
      <c r="I23" s="68"/>
      <c r="J23" s="389"/>
    </row>
    <row r="24" spans="2:24" x14ac:dyDescent="0.2">
      <c r="B24" s="105" t="s">
        <v>277</v>
      </c>
      <c r="C24" s="108">
        <v>1</v>
      </c>
      <c r="D24" s="250" t="s">
        <v>276</v>
      </c>
      <c r="E24" s="252">
        <v>142800000</v>
      </c>
      <c r="F24" s="249"/>
      <c r="G24" s="249"/>
      <c r="H24" s="251">
        <f t="shared" si="4"/>
        <v>142800000</v>
      </c>
      <c r="I24" s="68"/>
      <c r="J24" s="389"/>
    </row>
    <row r="25" spans="2:24" x14ac:dyDescent="0.2">
      <c r="B25" s="105" t="s">
        <v>348</v>
      </c>
      <c r="C25" s="108">
        <v>19</v>
      </c>
      <c r="D25" s="250" t="s">
        <v>276</v>
      </c>
      <c r="E25" s="251">
        <v>14500000</v>
      </c>
      <c r="F25" s="249"/>
      <c r="G25" s="249"/>
      <c r="H25" s="251">
        <f t="shared" si="4"/>
        <v>275500000</v>
      </c>
      <c r="I25" s="68"/>
      <c r="J25" s="390"/>
    </row>
    <row r="26" spans="2:24" x14ac:dyDescent="0.2">
      <c r="B26" s="105" t="s">
        <v>347</v>
      </c>
      <c r="C26" s="108">
        <v>1</v>
      </c>
      <c r="D26" s="250" t="s">
        <v>84</v>
      </c>
      <c r="E26" s="251">
        <v>1800000</v>
      </c>
      <c r="F26" s="249"/>
      <c r="G26" s="249"/>
      <c r="H26" s="251">
        <f t="shared" si="4"/>
        <v>1800000</v>
      </c>
      <c r="I26" s="68"/>
      <c r="J26" s="389"/>
    </row>
    <row r="27" spans="2:24" x14ac:dyDescent="0.2">
      <c r="B27" s="105" t="s">
        <v>313</v>
      </c>
      <c r="C27" s="108">
        <v>1</v>
      </c>
      <c r="D27" s="250" t="s">
        <v>84</v>
      </c>
      <c r="E27" s="251">
        <v>3381852</v>
      </c>
      <c r="F27" s="249"/>
      <c r="G27" s="249"/>
      <c r="H27" s="251">
        <f t="shared" si="4"/>
        <v>3381852</v>
      </c>
      <c r="I27" s="68"/>
      <c r="J27" s="389"/>
    </row>
    <row r="28" spans="2:24" x14ac:dyDescent="0.2">
      <c r="B28" s="105" t="s">
        <v>213</v>
      </c>
      <c r="C28" s="253">
        <v>3</v>
      </c>
      <c r="D28" s="254" t="s">
        <v>278</v>
      </c>
      <c r="E28" s="255">
        <v>7862772</v>
      </c>
      <c r="F28" s="256"/>
      <c r="G28" s="253">
        <v>12</v>
      </c>
      <c r="H28" s="251">
        <f>+C28*E28*G28</f>
        <v>283059792</v>
      </c>
      <c r="I28" s="68"/>
      <c r="J28" s="390"/>
    </row>
    <row r="29" spans="2:24" x14ac:dyDescent="0.2">
      <c r="B29" s="105" t="s">
        <v>279</v>
      </c>
      <c r="C29" s="253">
        <v>3</v>
      </c>
      <c r="D29" s="254" t="s">
        <v>278</v>
      </c>
      <c r="E29" s="255">
        <v>1313122</v>
      </c>
      <c r="F29" s="256"/>
      <c r="G29" s="253"/>
      <c r="H29" s="257">
        <f>+E29*C29</f>
        <v>3939366</v>
      </c>
      <c r="I29" s="68"/>
      <c r="J29" s="390"/>
    </row>
    <row r="30" spans="2:24" x14ac:dyDescent="0.2">
      <c r="B30" s="105" t="s">
        <v>280</v>
      </c>
      <c r="C30" s="253">
        <v>10</v>
      </c>
      <c r="D30" s="254" t="s">
        <v>278</v>
      </c>
      <c r="E30" s="255">
        <v>3931384</v>
      </c>
      <c r="F30" s="256"/>
      <c r="G30" s="253">
        <v>8</v>
      </c>
      <c r="H30" s="257">
        <f>C30*E30*G30</f>
        <v>314510720</v>
      </c>
      <c r="I30" s="258"/>
      <c r="J30" s="390"/>
    </row>
    <row r="31" spans="2:24" x14ac:dyDescent="0.2">
      <c r="B31" s="105" t="s">
        <v>57</v>
      </c>
      <c r="C31" s="253">
        <v>10</v>
      </c>
      <c r="D31" s="254" t="s">
        <v>278</v>
      </c>
      <c r="E31" s="255">
        <v>1300000</v>
      </c>
      <c r="F31" s="256"/>
      <c r="G31" s="253">
        <v>8</v>
      </c>
      <c r="H31" s="257">
        <f>C31*E31*G31</f>
        <v>104000000</v>
      </c>
      <c r="I31" s="258"/>
      <c r="J31" s="390"/>
    </row>
    <row r="32" spans="2:24" x14ac:dyDescent="0.2">
      <c r="B32" s="105" t="s">
        <v>194</v>
      </c>
      <c r="C32" s="253">
        <v>10</v>
      </c>
      <c r="D32" s="254" t="s">
        <v>84</v>
      </c>
      <c r="E32" s="255">
        <v>155000</v>
      </c>
      <c r="F32" s="259"/>
      <c r="G32" s="253">
        <v>8</v>
      </c>
      <c r="H32" s="257">
        <f>C32*E32*G32</f>
        <v>12400000</v>
      </c>
      <c r="I32" s="258"/>
      <c r="J32" s="390"/>
    </row>
    <row r="33" spans="1:10" x14ac:dyDescent="0.2">
      <c r="B33" s="105" t="s">
        <v>350</v>
      </c>
      <c r="C33" s="108"/>
      <c r="D33" s="108"/>
      <c r="E33" s="82"/>
      <c r="F33" s="105"/>
      <c r="G33" s="105"/>
      <c r="H33" s="82" t="s">
        <v>273</v>
      </c>
      <c r="I33" s="260"/>
      <c r="J33" s="389"/>
    </row>
    <row r="34" spans="1:10" x14ac:dyDescent="0.2">
      <c r="B34" s="105" t="s">
        <v>357</v>
      </c>
      <c r="C34" s="108"/>
      <c r="D34" s="108"/>
      <c r="E34" s="82"/>
      <c r="F34" s="105"/>
      <c r="G34" s="105"/>
      <c r="H34" s="82" t="s">
        <v>273</v>
      </c>
      <c r="I34" s="258"/>
      <c r="J34" s="389"/>
    </row>
    <row r="35" spans="1:10" x14ac:dyDescent="0.2">
      <c r="B35" s="105" t="s">
        <v>349</v>
      </c>
      <c r="C35" s="108"/>
      <c r="D35" s="250"/>
      <c r="E35" s="251"/>
      <c r="F35" s="395"/>
      <c r="G35" s="249"/>
      <c r="H35" s="251" t="s">
        <v>273</v>
      </c>
      <c r="I35" s="68"/>
      <c r="J35" s="390"/>
    </row>
    <row r="36" spans="1:10" ht="15" x14ac:dyDescent="0.25">
      <c r="B36" s="105"/>
      <c r="C36" s="108"/>
      <c r="D36" s="108"/>
      <c r="E36" s="82"/>
      <c r="F36" s="105"/>
      <c r="G36" s="105"/>
      <c r="H36" s="82"/>
      <c r="I36" s="264" t="s">
        <v>174</v>
      </c>
      <c r="J36" s="389"/>
    </row>
    <row r="37" spans="1:10" ht="15" x14ac:dyDescent="0.25">
      <c r="B37" s="261" t="s">
        <v>439</v>
      </c>
      <c r="C37" s="262"/>
      <c r="D37" s="262"/>
      <c r="E37" s="262"/>
      <c r="F37" s="263"/>
      <c r="G37" s="263"/>
      <c r="H37" s="264">
        <f>SUM(H20:H34)</f>
        <v>1175831730</v>
      </c>
      <c r="I37" s="264">
        <f>H37/12</f>
        <v>97985977.5</v>
      </c>
      <c r="J37" s="390"/>
    </row>
    <row r="38" spans="1:10" s="68" customFormat="1" ht="243.95" customHeight="1" x14ac:dyDescent="0.2">
      <c r="B38" s="266" t="s">
        <v>451</v>
      </c>
      <c r="C38" s="267"/>
      <c r="D38" s="267"/>
      <c r="E38" s="267"/>
      <c r="F38" s="267"/>
      <c r="G38" s="267"/>
      <c r="H38" s="267"/>
    </row>
    <row r="39" spans="1:10" ht="15" x14ac:dyDescent="0.25">
      <c r="B39" s="268"/>
      <c r="C39" s="268"/>
      <c r="D39" s="268"/>
      <c r="E39" s="268"/>
      <c r="F39" s="268"/>
      <c r="G39" s="268"/>
      <c r="H39" s="268"/>
      <c r="I39" s="269"/>
    </row>
    <row r="40" spans="1:10" ht="15" x14ac:dyDescent="0.25">
      <c r="B40" s="268"/>
      <c r="C40" s="268"/>
      <c r="D40" s="268"/>
      <c r="E40" s="268"/>
      <c r="F40" s="268"/>
      <c r="G40" s="268"/>
      <c r="H40" s="268"/>
      <c r="I40" s="269"/>
    </row>
    <row r="41" spans="1:10" s="68" customFormat="1" ht="14.45" customHeight="1" x14ac:dyDescent="0.25">
      <c r="B41" s="723" t="str">
        <f>+B9</f>
        <v>9.2. Diseño y mejora de los instrumentos de financiamiento, comercialización, gestión de riesgos y empresarización para la cadena de maíz.</v>
      </c>
      <c r="C41" s="724"/>
      <c r="D41" s="724"/>
      <c r="E41" s="724"/>
      <c r="F41" s="724"/>
      <c r="G41" s="724"/>
      <c r="H41" s="724"/>
    </row>
    <row r="42" spans="1:10" hidden="1" x14ac:dyDescent="0.2">
      <c r="B42" s="268"/>
      <c r="C42" s="268"/>
      <c r="D42" s="268"/>
      <c r="E42" s="268"/>
      <c r="F42" s="268"/>
      <c r="G42" s="268"/>
      <c r="H42" s="268"/>
    </row>
    <row r="43" spans="1:10" ht="15" x14ac:dyDescent="0.25">
      <c r="B43" s="246" t="s">
        <v>79</v>
      </c>
      <c r="C43" s="246" t="s">
        <v>59</v>
      </c>
      <c r="D43" s="246" t="s">
        <v>56</v>
      </c>
      <c r="E43" s="246" t="s">
        <v>55</v>
      </c>
      <c r="F43" s="246" t="s">
        <v>80</v>
      </c>
      <c r="G43" s="246" t="s">
        <v>81</v>
      </c>
      <c r="H43" s="246" t="s">
        <v>82</v>
      </c>
    </row>
    <row r="44" spans="1:10" s="68" customFormat="1" x14ac:dyDescent="0.2">
      <c r="A44" s="228"/>
      <c r="B44" s="270" t="s">
        <v>83</v>
      </c>
      <c r="C44" s="108">
        <v>7</v>
      </c>
      <c r="D44" s="105" t="s">
        <v>276</v>
      </c>
      <c r="E44" s="82">
        <v>500000</v>
      </c>
      <c r="F44" s="105"/>
      <c r="G44" s="105"/>
      <c r="H44" s="82">
        <f>+C44*E44</f>
        <v>3500000</v>
      </c>
      <c r="I44" s="260"/>
      <c r="J44" s="390"/>
    </row>
    <row r="45" spans="1:10" s="68" customFormat="1" x14ac:dyDescent="0.2">
      <c r="B45" s="270" t="s">
        <v>351</v>
      </c>
      <c r="C45" s="108">
        <v>10</v>
      </c>
      <c r="D45" s="105" t="s">
        <v>276</v>
      </c>
      <c r="E45" s="82">
        <v>100000</v>
      </c>
      <c r="F45" s="105"/>
      <c r="G45" s="105"/>
      <c r="H45" s="82">
        <f t="shared" ref="H45:H47" si="5">+C45*E45</f>
        <v>1000000</v>
      </c>
      <c r="I45" s="260"/>
      <c r="J45" s="390"/>
    </row>
    <row r="46" spans="1:10" s="68" customFormat="1" x14ac:dyDescent="0.2">
      <c r="A46" s="228"/>
      <c r="B46" s="270" t="s">
        <v>275</v>
      </c>
      <c r="C46" s="108">
        <v>11</v>
      </c>
      <c r="D46" s="270" t="s">
        <v>276</v>
      </c>
      <c r="E46" s="82">
        <v>2300000</v>
      </c>
      <c r="F46" s="270"/>
      <c r="G46" s="270"/>
      <c r="H46" s="82">
        <f t="shared" si="5"/>
        <v>25300000</v>
      </c>
      <c r="I46" s="265"/>
      <c r="J46" s="390"/>
    </row>
    <row r="47" spans="1:10" s="68" customFormat="1" x14ac:dyDescent="0.2">
      <c r="A47" s="228"/>
      <c r="B47" s="270" t="s">
        <v>162</v>
      </c>
      <c r="C47" s="108">
        <v>19</v>
      </c>
      <c r="D47" s="270" t="s">
        <v>276</v>
      </c>
      <c r="E47" s="82">
        <v>460000</v>
      </c>
      <c r="F47" s="270"/>
      <c r="G47" s="270"/>
      <c r="H47" s="82">
        <f t="shared" si="5"/>
        <v>8740000</v>
      </c>
      <c r="I47" s="265"/>
      <c r="J47" s="390"/>
    </row>
    <row r="48" spans="1:10" x14ac:dyDescent="0.2">
      <c r="B48" s="270" t="s">
        <v>213</v>
      </c>
      <c r="C48" s="108">
        <v>3</v>
      </c>
      <c r="D48" s="270" t="s">
        <v>278</v>
      </c>
      <c r="E48" s="82">
        <v>7862772</v>
      </c>
      <c r="F48" s="270"/>
      <c r="G48" s="270">
        <v>8</v>
      </c>
      <c r="H48" s="82">
        <f>+C48*E48*G48</f>
        <v>188706528</v>
      </c>
      <c r="I48" s="260"/>
      <c r="J48" s="389"/>
    </row>
    <row r="49" spans="1:10" x14ac:dyDescent="0.2">
      <c r="B49" s="270" t="s">
        <v>279</v>
      </c>
      <c r="C49" s="108">
        <v>3</v>
      </c>
      <c r="D49" s="270" t="s">
        <v>278</v>
      </c>
      <c r="E49" s="82">
        <v>1769683</v>
      </c>
      <c r="F49" s="270"/>
      <c r="G49" s="270">
        <v>8</v>
      </c>
      <c r="H49" s="82">
        <f>+C49*E49*G49</f>
        <v>42472392</v>
      </c>
      <c r="I49" s="260"/>
      <c r="J49" s="389"/>
    </row>
    <row r="50" spans="1:10" x14ac:dyDescent="0.2">
      <c r="B50" s="270" t="s">
        <v>440</v>
      </c>
      <c r="C50" s="108">
        <v>1</v>
      </c>
      <c r="D50" s="270" t="s">
        <v>276</v>
      </c>
      <c r="E50" s="82">
        <v>60000000</v>
      </c>
      <c r="F50" s="270"/>
      <c r="G50" s="270"/>
      <c r="H50" s="82">
        <f>C50*E50</f>
        <v>60000000</v>
      </c>
      <c r="I50" s="260"/>
      <c r="J50" s="389"/>
    </row>
    <row r="51" spans="1:10" ht="15" x14ac:dyDescent="0.25">
      <c r="B51" s="270" t="s">
        <v>203</v>
      </c>
      <c r="C51" s="270"/>
      <c r="D51" s="270"/>
      <c r="E51" s="270"/>
      <c r="F51" s="270"/>
      <c r="G51" s="270"/>
      <c r="H51" s="82" t="s">
        <v>273</v>
      </c>
      <c r="I51" s="271" t="s">
        <v>174</v>
      </c>
      <c r="J51" s="389"/>
    </row>
    <row r="52" spans="1:10" ht="15" x14ac:dyDescent="0.25">
      <c r="B52" s="261" t="s">
        <v>96</v>
      </c>
      <c r="C52" s="262"/>
      <c r="D52" s="262"/>
      <c r="E52" s="263"/>
      <c r="F52" s="263"/>
      <c r="G52" s="262"/>
      <c r="H52" s="271">
        <f>SUM(H44:H51)</f>
        <v>329718920</v>
      </c>
      <c r="I52" s="271">
        <f>H52/12</f>
        <v>27476576.666666668</v>
      </c>
      <c r="J52" s="389"/>
    </row>
    <row r="53" spans="1:10" s="68" customFormat="1" ht="260.45" hidden="1" customHeight="1" x14ac:dyDescent="0.2">
      <c r="B53" s="100" t="s">
        <v>97</v>
      </c>
      <c r="C53" s="268"/>
      <c r="D53" s="268"/>
      <c r="E53" s="268"/>
      <c r="F53" s="268"/>
      <c r="G53" s="268"/>
      <c r="H53" s="268"/>
      <c r="J53" s="228"/>
    </row>
    <row r="54" spans="1:10" ht="208.5" customHeight="1" x14ac:dyDescent="0.2">
      <c r="B54" s="266" t="s">
        <v>438</v>
      </c>
      <c r="C54" s="68"/>
      <c r="D54" s="68"/>
      <c r="E54" s="68"/>
      <c r="F54" s="245"/>
      <c r="G54" s="245"/>
      <c r="H54" s="68"/>
    </row>
    <row r="55" spans="1:10" x14ac:dyDescent="0.2">
      <c r="B55" s="68"/>
      <c r="C55" s="68"/>
      <c r="D55" s="68"/>
      <c r="E55" s="68"/>
      <c r="F55" s="68"/>
      <c r="G55" s="68"/>
    </row>
    <row r="57" spans="1:10" s="68" customFormat="1" ht="14.45" customHeight="1" x14ac:dyDescent="0.25">
      <c r="B57" s="723" t="str">
        <f>B10</f>
        <v>9.3. Fortalecimiento de mecanismos institucionales para el impulso a las inversiones en producción de maíz a mediana y gran escala.</v>
      </c>
      <c r="C57" s="724"/>
      <c r="D57" s="724"/>
      <c r="E57" s="724"/>
      <c r="F57" s="724"/>
      <c r="G57" s="724"/>
      <c r="H57" s="724"/>
    </row>
    <row r="58" spans="1:10" hidden="1" x14ac:dyDescent="0.2">
      <c r="B58" s="268"/>
      <c r="C58" s="268"/>
      <c r="D58" s="268"/>
      <c r="E58" s="268"/>
      <c r="F58" s="268"/>
      <c r="G58" s="268"/>
      <c r="H58" s="268"/>
    </row>
    <row r="59" spans="1:10" ht="15" x14ac:dyDescent="0.25">
      <c r="B59" s="246" t="s">
        <v>79</v>
      </c>
      <c r="C59" s="246" t="s">
        <v>59</v>
      </c>
      <c r="D59" s="246" t="s">
        <v>56</v>
      </c>
      <c r="E59" s="246" t="s">
        <v>55</v>
      </c>
      <c r="F59" s="246" t="s">
        <v>80</v>
      </c>
      <c r="G59" s="246" t="s">
        <v>81</v>
      </c>
      <c r="H59" s="246" t="s">
        <v>82</v>
      </c>
      <c r="J59" s="68"/>
    </row>
    <row r="60" spans="1:10" s="68" customFormat="1" x14ac:dyDescent="0.2">
      <c r="A60" s="228"/>
      <c r="B60" s="270" t="s">
        <v>275</v>
      </c>
      <c r="C60" s="108">
        <v>8</v>
      </c>
      <c r="D60" s="105" t="s">
        <v>276</v>
      </c>
      <c r="E60" s="82">
        <v>2300000</v>
      </c>
      <c r="F60" s="105"/>
      <c r="G60" s="105"/>
      <c r="H60" s="82">
        <f>+C60*E60</f>
        <v>18400000</v>
      </c>
      <c r="I60" s="260"/>
      <c r="J60" s="390"/>
    </row>
    <row r="61" spans="1:10" s="68" customFormat="1" x14ac:dyDescent="0.2">
      <c r="B61" s="270" t="s">
        <v>162</v>
      </c>
      <c r="C61" s="108">
        <v>20</v>
      </c>
      <c r="D61" s="105" t="s">
        <v>276</v>
      </c>
      <c r="E61" s="82">
        <v>460000</v>
      </c>
      <c r="F61" s="105"/>
      <c r="G61" s="105"/>
      <c r="H61" s="82">
        <f>+C61*E61</f>
        <v>9200000</v>
      </c>
      <c r="I61" s="260"/>
      <c r="J61" s="390"/>
    </row>
    <row r="62" spans="1:10" s="68" customFormat="1" x14ac:dyDescent="0.2">
      <c r="A62" s="228"/>
      <c r="B62" s="270" t="s">
        <v>238</v>
      </c>
      <c r="C62" s="108">
        <v>14</v>
      </c>
      <c r="D62" s="270" t="s">
        <v>276</v>
      </c>
      <c r="E62" s="82">
        <v>100000</v>
      </c>
      <c r="F62" s="270"/>
      <c r="G62" s="270"/>
      <c r="H62" s="82">
        <f>+C62*E62</f>
        <v>1400000</v>
      </c>
      <c r="I62" s="265"/>
      <c r="J62" s="390"/>
    </row>
    <row r="63" spans="1:10" s="68" customFormat="1" x14ac:dyDescent="0.2">
      <c r="A63" s="228"/>
      <c r="B63" s="270" t="s">
        <v>83</v>
      </c>
      <c r="C63" s="108">
        <v>7</v>
      </c>
      <c r="D63" s="270" t="s">
        <v>276</v>
      </c>
      <c r="E63" s="82">
        <v>500000</v>
      </c>
      <c r="F63" s="270"/>
      <c r="G63" s="270"/>
      <c r="H63" s="82">
        <f>+C63*E63</f>
        <v>3500000</v>
      </c>
      <c r="I63" s="265"/>
      <c r="J63" s="389"/>
    </row>
    <row r="64" spans="1:10" x14ac:dyDescent="0.2">
      <c r="B64" s="270" t="s">
        <v>347</v>
      </c>
      <c r="C64" s="108">
        <v>4</v>
      </c>
      <c r="D64" s="270" t="s">
        <v>84</v>
      </c>
      <c r="E64" s="82">
        <v>1800000</v>
      </c>
      <c r="F64" s="270"/>
      <c r="G64" s="270"/>
      <c r="H64" s="82">
        <f>C64*E64</f>
        <v>7200000</v>
      </c>
      <c r="I64" s="260"/>
      <c r="J64" s="390"/>
    </row>
    <row r="65" spans="1:10" s="68" customFormat="1" x14ac:dyDescent="0.2">
      <c r="A65" s="228"/>
      <c r="B65" s="270" t="s">
        <v>313</v>
      </c>
      <c r="C65" s="108">
        <v>4</v>
      </c>
      <c r="D65" s="270" t="s">
        <v>84</v>
      </c>
      <c r="E65" s="82">
        <v>3381852</v>
      </c>
      <c r="F65" s="270"/>
      <c r="G65" s="270"/>
      <c r="H65" s="82">
        <f>C65*E65</f>
        <v>13527408</v>
      </c>
      <c r="I65" s="260"/>
      <c r="J65" s="390"/>
    </row>
    <row r="66" spans="1:10" s="68" customFormat="1" x14ac:dyDescent="0.2">
      <c r="B66" s="270" t="s">
        <v>277</v>
      </c>
      <c r="C66" s="292">
        <v>1</v>
      </c>
      <c r="D66" s="270" t="s">
        <v>276</v>
      </c>
      <c r="E66" s="82">
        <v>142800000</v>
      </c>
      <c r="F66" s="270"/>
      <c r="G66" s="270"/>
      <c r="H66" s="82">
        <f t="shared" ref="H66" si="6">+C66*E66</f>
        <v>142800000</v>
      </c>
      <c r="I66" s="260"/>
      <c r="J66" s="390"/>
    </row>
    <row r="67" spans="1:10" s="68" customFormat="1" x14ac:dyDescent="0.2">
      <c r="A67" s="228"/>
      <c r="B67" s="270" t="s">
        <v>348</v>
      </c>
      <c r="C67" s="108">
        <v>10</v>
      </c>
      <c r="D67" s="105" t="s">
        <v>276</v>
      </c>
      <c r="E67" s="82">
        <v>14500000</v>
      </c>
      <c r="F67" s="105"/>
      <c r="G67" s="105"/>
      <c r="H67" s="82">
        <f>+C67*E67</f>
        <v>145000000</v>
      </c>
      <c r="I67" s="265"/>
      <c r="J67" s="390"/>
    </row>
    <row r="68" spans="1:10" s="68" customFormat="1" x14ac:dyDescent="0.2">
      <c r="A68" s="228"/>
      <c r="B68" s="270" t="s">
        <v>213</v>
      </c>
      <c r="C68" s="108">
        <v>5</v>
      </c>
      <c r="D68" s="105" t="s">
        <v>278</v>
      </c>
      <c r="E68" s="82">
        <v>8963563</v>
      </c>
      <c r="F68" s="105"/>
      <c r="G68" s="108">
        <v>8</v>
      </c>
      <c r="H68" s="82">
        <f>+C68*E68*G68</f>
        <v>358542520</v>
      </c>
      <c r="I68" s="265"/>
      <c r="J68" s="389"/>
    </row>
    <row r="69" spans="1:10" ht="15" x14ac:dyDescent="0.25">
      <c r="B69" s="270" t="s">
        <v>279</v>
      </c>
      <c r="C69" s="108">
        <v>5</v>
      </c>
      <c r="D69" s="270" t="s">
        <v>278</v>
      </c>
      <c r="E69" s="82">
        <v>856561</v>
      </c>
      <c r="F69" s="270"/>
      <c r="G69" s="292"/>
      <c r="H69" s="82">
        <f>C69*E69</f>
        <v>4282805</v>
      </c>
      <c r="I69" s="320"/>
      <c r="J69" s="389"/>
    </row>
    <row r="70" spans="1:10" ht="15" x14ac:dyDescent="0.25">
      <c r="B70" s="270" t="s">
        <v>280</v>
      </c>
      <c r="C70" s="108">
        <v>7</v>
      </c>
      <c r="D70" s="270" t="s">
        <v>278</v>
      </c>
      <c r="E70" s="82">
        <v>2516084</v>
      </c>
      <c r="F70" s="270"/>
      <c r="G70" s="292">
        <v>6</v>
      </c>
      <c r="H70" s="82">
        <f>+G70*E70*C70</f>
        <v>105675528</v>
      </c>
      <c r="I70" s="320"/>
      <c r="J70" s="389"/>
    </row>
    <row r="71" spans="1:10" ht="15" x14ac:dyDescent="0.25">
      <c r="B71" s="270" t="s">
        <v>57</v>
      </c>
      <c r="C71" s="108">
        <v>7</v>
      </c>
      <c r="D71" s="270" t="s">
        <v>278</v>
      </c>
      <c r="E71" s="82">
        <v>1300000</v>
      </c>
      <c r="F71" s="270"/>
      <c r="G71" s="292">
        <v>6</v>
      </c>
      <c r="H71" s="82">
        <f>+G71*E71*C71</f>
        <v>54600000</v>
      </c>
      <c r="I71" s="320"/>
      <c r="J71" s="389"/>
    </row>
    <row r="72" spans="1:10" ht="15" x14ac:dyDescent="0.25">
      <c r="B72" s="270" t="s">
        <v>194</v>
      </c>
      <c r="C72" s="108">
        <v>7</v>
      </c>
      <c r="D72" s="270" t="s">
        <v>278</v>
      </c>
      <c r="E72" s="82">
        <v>155000</v>
      </c>
      <c r="F72" s="270"/>
      <c r="G72" s="292">
        <v>6</v>
      </c>
      <c r="H72" s="82">
        <f>+G72*E72*C72</f>
        <v>6510000</v>
      </c>
      <c r="I72" s="320"/>
      <c r="J72" s="389"/>
    </row>
    <row r="73" spans="1:10" s="68" customFormat="1" ht="260.45" hidden="1" customHeight="1" x14ac:dyDescent="0.25">
      <c r="B73" s="270" t="s">
        <v>316</v>
      </c>
      <c r="C73" s="270"/>
      <c r="D73" s="270"/>
      <c r="E73" s="270"/>
      <c r="F73" s="270"/>
      <c r="G73" s="270"/>
      <c r="H73" s="82" t="s">
        <v>273</v>
      </c>
      <c r="I73" s="320"/>
      <c r="J73" s="228"/>
    </row>
    <row r="74" spans="1:10" s="68" customFormat="1" ht="15" x14ac:dyDescent="0.25">
      <c r="B74" s="270" t="s">
        <v>363</v>
      </c>
      <c r="C74" s="270"/>
      <c r="D74" s="270"/>
      <c r="E74" s="270"/>
      <c r="F74" s="270"/>
      <c r="G74" s="270"/>
      <c r="H74" s="82" t="s">
        <v>273</v>
      </c>
      <c r="I74" s="271" t="s">
        <v>174</v>
      </c>
      <c r="J74" s="228"/>
    </row>
    <row r="75" spans="1:10" ht="15" x14ac:dyDescent="0.25">
      <c r="B75" s="261" t="s">
        <v>96</v>
      </c>
      <c r="C75" s="262"/>
      <c r="D75" s="262"/>
      <c r="E75" s="263"/>
      <c r="F75" s="263"/>
      <c r="G75" s="262"/>
      <c r="H75" s="271">
        <f>SUM(H60:H73)</f>
        <v>870638261</v>
      </c>
      <c r="I75" s="271">
        <f>H75/12</f>
        <v>72553188.416666672</v>
      </c>
      <c r="J75" s="390"/>
    </row>
    <row r="76" spans="1:10" s="68" customFormat="1" ht="256.5" x14ac:dyDescent="0.25">
      <c r="B76" s="266" t="s">
        <v>364</v>
      </c>
      <c r="C76" s="318"/>
      <c r="D76" s="318"/>
      <c r="E76" s="319"/>
      <c r="F76" s="319"/>
      <c r="G76" s="318"/>
      <c r="H76" s="320"/>
      <c r="I76" s="320"/>
    </row>
    <row r="77" spans="1:10" s="68" customFormat="1" ht="15" x14ac:dyDescent="0.25">
      <c r="B77" s="317"/>
      <c r="C77" s="318"/>
      <c r="D77" s="318"/>
      <c r="E77" s="319"/>
      <c r="F77" s="319"/>
      <c r="G77" s="318"/>
      <c r="H77" s="320"/>
      <c r="I77" s="320"/>
    </row>
    <row r="78" spans="1:10" s="68" customFormat="1" ht="15" x14ac:dyDescent="0.25">
      <c r="B78" s="317"/>
      <c r="C78" s="318"/>
      <c r="D78" s="318"/>
      <c r="E78" s="319"/>
      <c r="F78" s="319"/>
      <c r="G78" s="318"/>
      <c r="H78" s="320"/>
      <c r="I78" s="320"/>
    </row>
    <row r="80" spans="1:10" x14ac:dyDescent="0.2">
      <c r="B80" s="726" t="str">
        <f>+B11</f>
        <v>9.4. Diseño y operación del Sistema nacional de Información para la cadena de maíz.</v>
      </c>
      <c r="C80" s="727"/>
      <c r="D80" s="727"/>
      <c r="E80" s="727"/>
      <c r="F80" s="727"/>
      <c r="G80" s="727"/>
      <c r="H80" s="727"/>
    </row>
    <row r="81" spans="2:10" ht="15" x14ac:dyDescent="0.2">
      <c r="B81" s="272" t="s">
        <v>79</v>
      </c>
      <c r="C81" s="272" t="s">
        <v>59</v>
      </c>
      <c r="D81" s="272" t="s">
        <v>56</v>
      </c>
      <c r="E81" s="272" t="s">
        <v>55</v>
      </c>
      <c r="F81" s="272" t="s">
        <v>80</v>
      </c>
      <c r="G81" s="272" t="s">
        <v>81</v>
      </c>
      <c r="H81" s="272" t="s">
        <v>82</v>
      </c>
      <c r="J81" s="389"/>
    </row>
    <row r="82" spans="2:10" ht="28.5" x14ac:dyDescent="0.2">
      <c r="B82" s="273" t="s">
        <v>275</v>
      </c>
      <c r="C82" s="249">
        <f>7+7+1</f>
        <v>15</v>
      </c>
      <c r="D82" s="250" t="s">
        <v>276</v>
      </c>
      <c r="E82" s="251">
        <v>2300000</v>
      </c>
      <c r="F82" s="274"/>
      <c r="G82" s="274"/>
      <c r="H82" s="275">
        <f>C82*E82</f>
        <v>34500000</v>
      </c>
      <c r="J82" s="389"/>
    </row>
    <row r="83" spans="2:10" x14ac:dyDescent="0.2">
      <c r="B83" s="276" t="s">
        <v>162</v>
      </c>
      <c r="C83" s="108">
        <f>19</f>
        <v>19</v>
      </c>
      <c r="D83" s="250" t="s">
        <v>276</v>
      </c>
      <c r="E83" s="251">
        <v>460000</v>
      </c>
      <c r="F83" s="274"/>
      <c r="G83" s="274"/>
      <c r="H83" s="275">
        <f t="shared" ref="H83:H85" si="7">C83*E83</f>
        <v>8740000</v>
      </c>
      <c r="J83" s="389"/>
    </row>
    <row r="84" spans="2:10" x14ac:dyDescent="0.2">
      <c r="B84" s="273" t="s">
        <v>238</v>
      </c>
      <c r="C84" s="108">
        <v>7</v>
      </c>
      <c r="D84" s="250" t="s">
        <v>276</v>
      </c>
      <c r="E84" s="251">
        <v>100000</v>
      </c>
      <c r="F84" s="274"/>
      <c r="G84" s="274"/>
      <c r="H84" s="275">
        <f t="shared" si="7"/>
        <v>700000</v>
      </c>
      <c r="J84" s="389"/>
    </row>
    <row r="85" spans="2:10" x14ac:dyDescent="0.2">
      <c r="B85" s="273" t="s">
        <v>83</v>
      </c>
      <c r="C85" s="108">
        <v>7</v>
      </c>
      <c r="D85" s="250" t="s">
        <v>276</v>
      </c>
      <c r="E85" s="251">
        <v>500000</v>
      </c>
      <c r="F85" s="274"/>
      <c r="G85" s="274"/>
      <c r="H85" s="275">
        <f t="shared" si="7"/>
        <v>3500000</v>
      </c>
      <c r="J85" s="389"/>
    </row>
    <row r="86" spans="2:10" x14ac:dyDescent="0.2">
      <c r="B86" s="276" t="s">
        <v>213</v>
      </c>
      <c r="C86" s="253">
        <v>3</v>
      </c>
      <c r="D86" s="254" t="s">
        <v>278</v>
      </c>
      <c r="E86" s="255">
        <v>7862772</v>
      </c>
      <c r="F86" s="274"/>
      <c r="G86" s="277">
        <v>8</v>
      </c>
      <c r="H86" s="275">
        <f>C86*E86*G86</f>
        <v>188706528</v>
      </c>
      <c r="J86" s="389"/>
    </row>
    <row r="87" spans="2:10" x14ac:dyDescent="0.2">
      <c r="B87" s="276" t="s">
        <v>279</v>
      </c>
      <c r="C87" s="253">
        <v>3</v>
      </c>
      <c r="D87" s="254" t="s">
        <v>278</v>
      </c>
      <c r="E87" s="255">
        <v>1769683</v>
      </c>
      <c r="F87" s="274"/>
      <c r="G87" s="277"/>
      <c r="H87" s="275">
        <f>C87*E87</f>
        <v>5309049</v>
      </c>
      <c r="J87" s="389"/>
    </row>
    <row r="88" spans="2:10" x14ac:dyDescent="0.2">
      <c r="B88" s="276" t="s">
        <v>280</v>
      </c>
      <c r="C88" s="253">
        <v>10</v>
      </c>
      <c r="D88" s="254" t="s">
        <v>278</v>
      </c>
      <c r="E88" s="255">
        <v>3931384</v>
      </c>
      <c r="F88" s="274"/>
      <c r="G88" s="277">
        <v>6</v>
      </c>
      <c r="H88" s="275">
        <f>C88*E88*G88</f>
        <v>235883040</v>
      </c>
      <c r="J88" s="389"/>
    </row>
    <row r="89" spans="2:10" x14ac:dyDescent="0.2">
      <c r="B89" s="276" t="s">
        <v>57</v>
      </c>
      <c r="C89" s="253">
        <v>10</v>
      </c>
      <c r="D89" s="254" t="s">
        <v>278</v>
      </c>
      <c r="E89" s="255">
        <v>1300000</v>
      </c>
      <c r="F89" s="278"/>
      <c r="G89" s="277">
        <v>6</v>
      </c>
      <c r="H89" s="275">
        <f t="shared" ref="H89:H91" si="8">C89*E89*G89</f>
        <v>78000000</v>
      </c>
      <c r="J89" s="389"/>
    </row>
    <row r="90" spans="2:10" x14ac:dyDescent="0.2">
      <c r="B90" s="276" t="s">
        <v>194</v>
      </c>
      <c r="C90" s="253">
        <v>10</v>
      </c>
      <c r="D90" s="254" t="s">
        <v>84</v>
      </c>
      <c r="E90" s="255">
        <v>155000</v>
      </c>
      <c r="F90" s="274"/>
      <c r="G90" s="277">
        <v>6</v>
      </c>
      <c r="H90" s="275">
        <f t="shared" si="8"/>
        <v>9300000</v>
      </c>
      <c r="J90" s="389"/>
    </row>
    <row r="91" spans="2:10" ht="15" x14ac:dyDescent="0.2">
      <c r="B91" s="274" t="s">
        <v>352</v>
      </c>
      <c r="C91" s="274"/>
      <c r="D91" s="274"/>
      <c r="E91" s="274"/>
      <c r="F91" s="274"/>
      <c r="G91" s="274"/>
      <c r="H91" s="275">
        <f t="shared" si="8"/>
        <v>0</v>
      </c>
      <c r="I91" s="281" t="s">
        <v>174</v>
      </c>
      <c r="J91" s="389"/>
    </row>
    <row r="92" spans="2:10" ht="15" x14ac:dyDescent="0.2">
      <c r="B92" s="272" t="s">
        <v>96</v>
      </c>
      <c r="C92" s="279"/>
      <c r="D92" s="279"/>
      <c r="E92" s="280"/>
      <c r="F92" s="280"/>
      <c r="G92" s="279"/>
      <c r="H92" s="281">
        <f>SUM(H82:H91)</f>
        <v>564638617</v>
      </c>
      <c r="I92" s="281">
        <f>H92/12</f>
        <v>47053218.083333336</v>
      </c>
      <c r="J92" s="389"/>
    </row>
    <row r="93" spans="2:10" ht="199.5" x14ac:dyDescent="0.2">
      <c r="B93" s="266" t="s">
        <v>358</v>
      </c>
      <c r="C93" s="282"/>
      <c r="D93" s="283"/>
      <c r="E93" s="283"/>
      <c r="F93" s="283"/>
      <c r="G93" s="283"/>
      <c r="H93" s="283"/>
    </row>
    <row r="97" spans="2:10" ht="15" x14ac:dyDescent="0.2">
      <c r="B97" s="726" t="str">
        <f>+B12</f>
        <v>9.5. Constitución y fortalecimiento de la Organización de Cadena de maíz.</v>
      </c>
      <c r="C97" s="726"/>
      <c r="D97" s="726"/>
      <c r="E97" s="726"/>
      <c r="F97" s="726"/>
      <c r="G97" s="726"/>
      <c r="H97" s="726"/>
    </row>
    <row r="98" spans="2:10" ht="15" x14ac:dyDescent="0.2">
      <c r="B98" s="284" t="s">
        <v>79</v>
      </c>
      <c r="C98" s="284" t="s">
        <v>59</v>
      </c>
      <c r="D98" s="284" t="s">
        <v>56</v>
      </c>
      <c r="E98" s="284" t="s">
        <v>55</v>
      </c>
      <c r="F98" s="285" t="s">
        <v>80</v>
      </c>
      <c r="G98" s="284" t="s">
        <v>81</v>
      </c>
      <c r="H98" s="284" t="s">
        <v>82</v>
      </c>
    </row>
    <row r="99" spans="2:10" x14ac:dyDescent="0.2">
      <c r="B99" s="105" t="s">
        <v>83</v>
      </c>
      <c r="C99" s="286">
        <v>7</v>
      </c>
      <c r="D99" s="287" t="s">
        <v>84</v>
      </c>
      <c r="E99" s="275">
        <v>500000</v>
      </c>
      <c r="F99" s="288"/>
      <c r="G99" s="289"/>
      <c r="H99" s="275">
        <f>C99*E99</f>
        <v>3500000</v>
      </c>
      <c r="J99" s="389"/>
    </row>
    <row r="100" spans="2:10" x14ac:dyDescent="0.2">
      <c r="B100" s="105" t="s">
        <v>238</v>
      </c>
      <c r="C100" s="286">
        <v>19</v>
      </c>
      <c r="D100" s="287" t="s">
        <v>84</v>
      </c>
      <c r="E100" s="275">
        <v>100000</v>
      </c>
      <c r="F100" s="288"/>
      <c r="G100" s="289"/>
      <c r="H100" s="275">
        <f>C100*E100</f>
        <v>1900000</v>
      </c>
      <c r="J100" s="389"/>
    </row>
    <row r="101" spans="2:10" x14ac:dyDescent="0.2">
      <c r="B101" s="290" t="s">
        <v>275</v>
      </c>
      <c r="C101" s="286">
        <v>7</v>
      </c>
      <c r="D101" s="287" t="s">
        <v>84</v>
      </c>
      <c r="E101" s="275">
        <v>2300000</v>
      </c>
      <c r="F101" s="288"/>
      <c r="G101" s="289"/>
      <c r="H101" s="275">
        <f>C101*E101</f>
        <v>16100000</v>
      </c>
      <c r="J101" s="389"/>
    </row>
    <row r="102" spans="2:10" x14ac:dyDescent="0.2">
      <c r="B102" s="290" t="s">
        <v>90</v>
      </c>
      <c r="C102" s="286">
        <v>2</v>
      </c>
      <c r="D102" s="287" t="s">
        <v>261</v>
      </c>
      <c r="E102" s="275">
        <v>5661197</v>
      </c>
      <c r="F102" s="288">
        <v>0.5</v>
      </c>
      <c r="G102" s="289">
        <v>12</v>
      </c>
      <c r="H102" s="275">
        <f>C102*E102*G102*F102</f>
        <v>67934364</v>
      </c>
      <c r="J102" s="389"/>
    </row>
    <row r="103" spans="2:10" x14ac:dyDescent="0.2">
      <c r="B103" s="290" t="s">
        <v>91</v>
      </c>
      <c r="C103" s="286">
        <v>4</v>
      </c>
      <c r="D103" s="287" t="s">
        <v>84</v>
      </c>
      <c r="E103" s="275">
        <v>957268</v>
      </c>
      <c r="F103" s="288"/>
      <c r="G103" s="289"/>
      <c r="H103" s="275">
        <f>C103*E103</f>
        <v>3829072</v>
      </c>
      <c r="J103" s="389"/>
    </row>
    <row r="104" spans="2:10" x14ac:dyDescent="0.2">
      <c r="B104" s="290" t="s">
        <v>249</v>
      </c>
      <c r="C104" s="286">
        <v>7</v>
      </c>
      <c r="D104" s="287" t="s">
        <v>261</v>
      </c>
      <c r="E104" s="275">
        <v>5032173</v>
      </c>
      <c r="F104" s="288">
        <v>0.5</v>
      </c>
      <c r="G104" s="289">
        <v>10</v>
      </c>
      <c r="H104" s="275">
        <f>C104*E104*G104*F104</f>
        <v>176126055</v>
      </c>
      <c r="J104" s="389"/>
    </row>
    <row r="105" spans="2:10" x14ac:dyDescent="0.2">
      <c r="B105" s="290" t="s">
        <v>57</v>
      </c>
      <c r="C105" s="286">
        <v>7</v>
      </c>
      <c r="D105" s="287" t="s">
        <v>84</v>
      </c>
      <c r="E105" s="275">
        <v>1300000</v>
      </c>
      <c r="F105" s="288">
        <v>0.5</v>
      </c>
      <c r="G105" s="289">
        <v>10</v>
      </c>
      <c r="H105" s="275">
        <f>C105*E105*F105*G105</f>
        <v>45500000</v>
      </c>
      <c r="J105" s="389"/>
    </row>
    <row r="106" spans="2:10" x14ac:dyDescent="0.2">
      <c r="B106" s="291" t="s">
        <v>194</v>
      </c>
      <c r="C106" s="292">
        <v>7</v>
      </c>
      <c r="D106" s="270" t="s">
        <v>84</v>
      </c>
      <c r="E106" s="293">
        <v>155000</v>
      </c>
      <c r="F106" s="294">
        <v>0.5</v>
      </c>
      <c r="G106" s="291">
        <v>10</v>
      </c>
      <c r="H106" s="275">
        <f>C106*E106*F106*G106</f>
        <v>5425000</v>
      </c>
      <c r="J106" s="389"/>
    </row>
    <row r="107" spans="2:10" x14ac:dyDescent="0.2">
      <c r="B107" s="291" t="s">
        <v>353</v>
      </c>
      <c r="C107" s="291"/>
      <c r="D107" s="291"/>
      <c r="E107" s="293"/>
      <c r="F107" s="291"/>
      <c r="G107" s="291"/>
      <c r="H107" s="295" t="s">
        <v>78</v>
      </c>
      <c r="J107" s="389"/>
    </row>
    <row r="108" spans="2:10" ht="15" x14ac:dyDescent="0.2">
      <c r="B108" s="296" t="s">
        <v>33</v>
      </c>
      <c r="C108" s="297"/>
      <c r="D108" s="297"/>
      <c r="E108" s="297"/>
      <c r="F108" s="298"/>
      <c r="G108" s="298"/>
      <c r="H108" s="299">
        <f>SUM(H99:H107)</f>
        <v>320314491</v>
      </c>
      <c r="J108" s="389"/>
    </row>
    <row r="109" spans="2:10" ht="132.75" customHeight="1" x14ac:dyDescent="0.2">
      <c r="B109" s="300" t="s">
        <v>354</v>
      </c>
      <c r="C109" s="301"/>
      <c r="D109" s="301"/>
      <c r="E109" s="301"/>
      <c r="F109" s="301"/>
      <c r="G109" s="301"/>
      <c r="H109" s="301"/>
    </row>
    <row r="111" spans="2:10" x14ac:dyDescent="0.2">
      <c r="B111" s="726" t="str">
        <f>+B13</f>
        <v>9.6. Adopción, promoción y monitoreo de la política pública para la cadena de maíz.</v>
      </c>
      <c r="C111" s="727"/>
      <c r="D111" s="727"/>
      <c r="E111" s="727"/>
      <c r="F111" s="727"/>
      <c r="G111" s="727"/>
      <c r="H111" s="727"/>
    </row>
    <row r="112" spans="2:10" ht="15" x14ac:dyDescent="0.2">
      <c r="B112" s="302" t="s">
        <v>79</v>
      </c>
      <c r="C112" s="302" t="s">
        <v>59</v>
      </c>
      <c r="D112" s="302" t="s">
        <v>56</v>
      </c>
      <c r="E112" s="302" t="s">
        <v>55</v>
      </c>
      <c r="F112" s="302" t="s">
        <v>80</v>
      </c>
      <c r="G112" s="302" t="s">
        <v>81</v>
      </c>
      <c r="H112" s="302" t="s">
        <v>82</v>
      </c>
    </row>
    <row r="113" spans="2:10" x14ac:dyDescent="0.2">
      <c r="B113" s="105" t="s">
        <v>83</v>
      </c>
      <c r="C113" s="292">
        <v>7</v>
      </c>
      <c r="D113" s="291" t="s">
        <v>84</v>
      </c>
      <c r="E113" s="275">
        <v>500000</v>
      </c>
      <c r="F113" s="291"/>
      <c r="G113" s="291"/>
      <c r="H113" s="275">
        <f>+C113*E113</f>
        <v>3500000</v>
      </c>
      <c r="J113" s="389"/>
    </row>
    <row r="114" spans="2:10" x14ac:dyDescent="0.2">
      <c r="B114" s="105" t="s">
        <v>238</v>
      </c>
      <c r="C114" s="292">
        <v>19</v>
      </c>
      <c r="D114" s="291" t="s">
        <v>84</v>
      </c>
      <c r="E114" s="275">
        <v>100000</v>
      </c>
      <c r="F114" s="291"/>
      <c r="G114" s="291"/>
      <c r="H114" s="275">
        <f>+C114*E114</f>
        <v>1900000</v>
      </c>
      <c r="J114" s="389"/>
    </row>
    <row r="115" spans="2:10" x14ac:dyDescent="0.2">
      <c r="B115" s="290" t="s">
        <v>275</v>
      </c>
      <c r="C115" s="292">
        <v>8</v>
      </c>
      <c r="D115" s="291" t="s">
        <v>84</v>
      </c>
      <c r="E115" s="275">
        <v>2300000</v>
      </c>
      <c r="F115" s="291"/>
      <c r="G115" s="291"/>
      <c r="H115" s="275">
        <f>+C115*E115</f>
        <v>18400000</v>
      </c>
      <c r="J115" s="389"/>
    </row>
    <row r="116" spans="2:10" x14ac:dyDescent="0.2">
      <c r="B116" s="291" t="s">
        <v>282</v>
      </c>
      <c r="C116" s="292">
        <v>7</v>
      </c>
      <c r="D116" s="291" t="s">
        <v>84</v>
      </c>
      <c r="E116" s="275">
        <v>460000</v>
      </c>
      <c r="F116" s="291"/>
      <c r="G116" s="291"/>
      <c r="H116" s="275">
        <f t="shared" ref="H116" si="9">+C116*E116</f>
        <v>3220000</v>
      </c>
      <c r="J116" s="389"/>
    </row>
    <row r="117" spans="2:10" x14ac:dyDescent="0.2">
      <c r="B117" s="291" t="s">
        <v>90</v>
      </c>
      <c r="C117" s="292">
        <v>2</v>
      </c>
      <c r="D117" s="291" t="s">
        <v>84</v>
      </c>
      <c r="E117" s="275">
        <v>5661197</v>
      </c>
      <c r="F117" s="294">
        <v>0.5</v>
      </c>
      <c r="G117" s="291">
        <v>12</v>
      </c>
      <c r="H117" s="275">
        <f>+C117*E117*F117*G117</f>
        <v>67934364</v>
      </c>
      <c r="J117" s="389"/>
    </row>
    <row r="118" spans="2:10" x14ac:dyDescent="0.2">
      <c r="B118" s="290" t="s">
        <v>91</v>
      </c>
      <c r="C118" s="292">
        <v>2</v>
      </c>
      <c r="D118" s="291" t="s">
        <v>84</v>
      </c>
      <c r="E118" s="275">
        <v>957268</v>
      </c>
      <c r="F118" s="294"/>
      <c r="G118" s="291"/>
      <c r="H118" s="275">
        <f>C118*E118</f>
        <v>1914536</v>
      </c>
      <c r="J118" s="389"/>
    </row>
    <row r="119" spans="2:10" x14ac:dyDescent="0.2">
      <c r="B119" s="290" t="s">
        <v>355</v>
      </c>
      <c r="C119" s="292">
        <v>1</v>
      </c>
      <c r="D119" s="291" t="s">
        <v>84</v>
      </c>
      <c r="E119" s="275">
        <v>7862772</v>
      </c>
      <c r="F119" s="294"/>
      <c r="G119" s="291">
        <v>4</v>
      </c>
      <c r="H119" s="275">
        <f>+C119*E119*G119</f>
        <v>31451088</v>
      </c>
      <c r="J119" s="389"/>
    </row>
    <row r="120" spans="2:10" x14ac:dyDescent="0.2">
      <c r="B120" s="290" t="s">
        <v>249</v>
      </c>
      <c r="C120" s="286">
        <v>7</v>
      </c>
      <c r="D120" s="289" t="s">
        <v>261</v>
      </c>
      <c r="E120" s="275">
        <v>5032173</v>
      </c>
      <c r="F120" s="288">
        <v>0.5</v>
      </c>
      <c r="G120" s="289">
        <v>10</v>
      </c>
      <c r="H120" s="275">
        <f>C120*E120*G120*F120</f>
        <v>176126055</v>
      </c>
      <c r="J120" s="389"/>
    </row>
    <row r="121" spans="2:10" x14ac:dyDescent="0.2">
      <c r="B121" s="290" t="s">
        <v>57</v>
      </c>
      <c r="C121" s="286">
        <v>7</v>
      </c>
      <c r="D121" s="289" t="s">
        <v>84</v>
      </c>
      <c r="E121" s="275">
        <v>1300000</v>
      </c>
      <c r="F121" s="288">
        <v>0.5</v>
      </c>
      <c r="G121" s="289">
        <v>10</v>
      </c>
      <c r="H121" s="275">
        <f t="shared" ref="H121:H122" si="10">C121*E121*G121*F121</f>
        <v>45500000</v>
      </c>
      <c r="J121" s="389"/>
    </row>
    <row r="122" spans="2:10" x14ac:dyDescent="0.2">
      <c r="B122" s="291" t="s">
        <v>194</v>
      </c>
      <c r="C122" s="292">
        <v>7</v>
      </c>
      <c r="D122" s="291" t="s">
        <v>84</v>
      </c>
      <c r="E122" s="293">
        <v>155000</v>
      </c>
      <c r="F122" s="294">
        <v>0.5</v>
      </c>
      <c r="G122" s="291">
        <v>10</v>
      </c>
      <c r="H122" s="275">
        <f t="shared" si="10"/>
        <v>5425000</v>
      </c>
      <c r="J122" s="389"/>
    </row>
    <row r="123" spans="2:10" x14ac:dyDescent="0.2">
      <c r="B123" s="291" t="s">
        <v>187</v>
      </c>
      <c r="C123" s="291"/>
      <c r="D123" s="291"/>
      <c r="E123" s="293"/>
      <c r="F123" s="294"/>
      <c r="G123" s="291"/>
      <c r="H123" s="275" t="s">
        <v>78</v>
      </c>
      <c r="J123" s="389"/>
    </row>
    <row r="124" spans="2:10" ht="15" x14ac:dyDescent="0.2">
      <c r="B124" s="303" t="s">
        <v>96</v>
      </c>
      <c r="C124" s="304"/>
      <c r="D124" s="304"/>
      <c r="E124" s="305"/>
      <c r="F124" s="305"/>
      <c r="G124" s="304"/>
      <c r="H124" s="306">
        <f>SUM(H113:H122)</f>
        <v>355371043</v>
      </c>
      <c r="J124" s="389"/>
    </row>
    <row r="125" spans="2:10" ht="145.5" customHeight="1" x14ac:dyDescent="0.2">
      <c r="B125" s="282" t="s">
        <v>356</v>
      </c>
      <c r="C125" s="307"/>
      <c r="D125" s="307"/>
      <c r="E125" s="307"/>
      <c r="F125" s="307"/>
      <c r="G125" s="307"/>
      <c r="H125" s="307"/>
    </row>
  </sheetData>
  <sheetProtection algorithmName="SHA-512" hashValue="M/CV47tv0FtIpDiPOEYnhUKmv/YaRU5TblL6Pkv6w+TwXx9BhLwk+gu1Pq46aNSUeQoxPM+XiqaE8O+44Cr5jg==" saltValue="0bucm92W1P4m3GHSKeUaJQ==" spinCount="100000" sheet="1" objects="1" scenarios="1"/>
  <mergeCells count="6">
    <mergeCell ref="B17:H18"/>
    <mergeCell ref="B41:H41"/>
    <mergeCell ref="B80:H80"/>
    <mergeCell ref="B97:H97"/>
    <mergeCell ref="B111:H111"/>
    <mergeCell ref="B57:H57"/>
  </mergeCells>
  <phoneticPr fontId="28" type="noConversion"/>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0"/>
  <sheetViews>
    <sheetView zoomScale="70" zoomScaleNormal="70" workbookViewId="0">
      <pane xSplit="4" ySplit="1" topLeftCell="E2" activePane="bottomRight" state="frozen"/>
      <selection pane="topRight" activeCell="E1" sqref="E1"/>
      <selection pane="bottomLeft" activeCell="A2" sqref="A2"/>
      <selection pane="bottomRight" activeCell="C14" sqref="C14"/>
    </sheetView>
  </sheetViews>
  <sheetFormatPr baseColWidth="10" defaultColWidth="11.85546875" defaultRowHeight="15" x14ac:dyDescent="0.2"/>
  <cols>
    <col min="1" max="1" width="19.85546875" style="226" customWidth="1"/>
    <col min="2" max="2" width="36.7109375" style="225" customWidth="1"/>
    <col min="3" max="3" width="31.140625" style="226" customWidth="1"/>
    <col min="4" max="4" width="32.28515625" style="225" customWidth="1"/>
    <col min="5" max="5" width="116.42578125" style="420" customWidth="1"/>
    <col min="6" max="6" width="40" style="225" customWidth="1"/>
    <col min="7" max="16384" width="11.85546875" style="225"/>
  </cols>
  <sheetData>
    <row r="1" spans="1:6" ht="62.25" customHeight="1" x14ac:dyDescent="0.2">
      <c r="A1" s="223" t="s">
        <v>116</v>
      </c>
      <c r="B1" s="223" t="s">
        <v>117</v>
      </c>
      <c r="C1" s="224" t="s">
        <v>118</v>
      </c>
      <c r="D1" s="224" t="s">
        <v>119</v>
      </c>
      <c r="E1" s="412" t="s">
        <v>453</v>
      </c>
      <c r="F1" s="412" t="s">
        <v>454</v>
      </c>
    </row>
    <row r="2" spans="1:6" ht="178.5" x14ac:dyDescent="0.2">
      <c r="A2" s="393" t="s">
        <v>120</v>
      </c>
      <c r="B2" s="393" t="s">
        <v>121</v>
      </c>
      <c r="C2" s="393" t="s">
        <v>99</v>
      </c>
      <c r="D2" s="413" t="s">
        <v>100</v>
      </c>
      <c r="E2" s="414" t="s">
        <v>981</v>
      </c>
      <c r="F2" s="415">
        <f>'Estimación anualizada '!V7</f>
        <v>82195085383.75</v>
      </c>
    </row>
    <row r="3" spans="1:6" ht="216.6" customHeight="1" x14ac:dyDescent="0.2">
      <c r="A3" s="393" t="s">
        <v>120</v>
      </c>
      <c r="B3" s="393" t="s">
        <v>121</v>
      </c>
      <c r="C3" s="393" t="s">
        <v>99</v>
      </c>
      <c r="D3" s="413" t="s">
        <v>101</v>
      </c>
      <c r="E3" s="414" t="s">
        <v>982</v>
      </c>
      <c r="F3" s="415">
        <f>'Estimación anualizada '!V8</f>
        <v>51138546939.287483</v>
      </c>
    </row>
    <row r="4" spans="1:6" ht="318.75" x14ac:dyDescent="0.2">
      <c r="A4" s="393" t="s">
        <v>120</v>
      </c>
      <c r="B4" s="393" t="s">
        <v>332</v>
      </c>
      <c r="C4" s="393" t="s">
        <v>122</v>
      </c>
      <c r="D4" s="413" t="s">
        <v>333</v>
      </c>
      <c r="E4" s="414" t="s">
        <v>983</v>
      </c>
      <c r="F4" s="416">
        <f>'Estimación anualizada '!V10</f>
        <v>1016255147306</v>
      </c>
    </row>
    <row r="5" spans="1:6" ht="95.45" customHeight="1" x14ac:dyDescent="0.2">
      <c r="A5" s="393" t="s">
        <v>334</v>
      </c>
      <c r="B5" s="393" t="s">
        <v>332</v>
      </c>
      <c r="C5" s="393" t="s">
        <v>122</v>
      </c>
      <c r="D5" s="413" t="s">
        <v>335</v>
      </c>
      <c r="E5" s="414" t="s">
        <v>431</v>
      </c>
      <c r="F5" s="415">
        <f>'Estimación anualizada '!V11</f>
        <v>7515731518</v>
      </c>
    </row>
    <row r="6" spans="1:6" ht="198" customHeight="1" x14ac:dyDescent="0.2">
      <c r="A6" s="393" t="s">
        <v>120</v>
      </c>
      <c r="B6" s="393" t="s">
        <v>123</v>
      </c>
      <c r="C6" s="393" t="s">
        <v>124</v>
      </c>
      <c r="D6" s="413" t="s">
        <v>125</v>
      </c>
      <c r="E6" s="414" t="s">
        <v>422</v>
      </c>
      <c r="F6" s="415">
        <f>'Estimación anualizada '!V13</f>
        <v>25936173910</v>
      </c>
    </row>
    <row r="7" spans="1:6" ht="212.45" customHeight="1" x14ac:dyDescent="0.2">
      <c r="A7" s="393" t="s">
        <v>120</v>
      </c>
      <c r="B7" s="393" t="s">
        <v>126</v>
      </c>
      <c r="C7" s="393" t="s">
        <v>124</v>
      </c>
      <c r="D7" s="413" t="s">
        <v>127</v>
      </c>
      <c r="E7" s="414" t="s">
        <v>424</v>
      </c>
      <c r="F7" s="415">
        <f>'Estimación anualizada '!V14</f>
        <v>37997628165.5</v>
      </c>
    </row>
    <row r="8" spans="1:6" ht="331.5" customHeight="1" x14ac:dyDescent="0.2">
      <c r="A8" s="393" t="s">
        <v>120</v>
      </c>
      <c r="B8" s="393" t="s">
        <v>123</v>
      </c>
      <c r="C8" s="393" t="s">
        <v>124</v>
      </c>
      <c r="D8" s="413" t="s">
        <v>128</v>
      </c>
      <c r="E8" s="414" t="s">
        <v>984</v>
      </c>
      <c r="F8" s="415">
        <f>'Estimación anualizada '!V15</f>
        <v>1295488002608.7964</v>
      </c>
    </row>
    <row r="9" spans="1:6" ht="228.95" customHeight="1" x14ac:dyDescent="0.2">
      <c r="A9" s="393" t="s">
        <v>120</v>
      </c>
      <c r="B9" s="393" t="s">
        <v>123</v>
      </c>
      <c r="C9" s="393" t="s">
        <v>124</v>
      </c>
      <c r="D9" s="413" t="s">
        <v>336</v>
      </c>
      <c r="E9" s="414" t="s">
        <v>419</v>
      </c>
      <c r="F9" s="415">
        <f>'Estimación anualizada '!V16</f>
        <v>30338487270.195988</v>
      </c>
    </row>
    <row r="10" spans="1:6" ht="92.45" customHeight="1" x14ac:dyDescent="0.2">
      <c r="A10" s="393" t="s">
        <v>120</v>
      </c>
      <c r="B10" s="393" t="s">
        <v>123</v>
      </c>
      <c r="C10" s="393" t="s">
        <v>124</v>
      </c>
      <c r="D10" s="413" t="s">
        <v>337</v>
      </c>
      <c r="E10" s="414" t="s">
        <v>420</v>
      </c>
      <c r="F10" s="415">
        <f>'Estimación anualizada '!V17</f>
        <v>10740529210.194</v>
      </c>
    </row>
    <row r="11" spans="1:6" ht="64.5" customHeight="1" x14ac:dyDescent="0.2">
      <c r="A11" s="394" t="s">
        <v>129</v>
      </c>
      <c r="B11" s="394" t="s">
        <v>130</v>
      </c>
      <c r="C11" s="394" t="s">
        <v>131</v>
      </c>
      <c r="D11" s="417" t="s">
        <v>132</v>
      </c>
      <c r="E11" s="414" t="s">
        <v>293</v>
      </c>
      <c r="F11" s="415">
        <f>'Estimación anualizada '!V19</f>
        <v>3089539635</v>
      </c>
    </row>
    <row r="12" spans="1:6" ht="184.5" customHeight="1" x14ac:dyDescent="0.2">
      <c r="A12" s="394" t="s">
        <v>129</v>
      </c>
      <c r="B12" s="394" t="s">
        <v>130</v>
      </c>
      <c r="C12" s="394" t="s">
        <v>131</v>
      </c>
      <c r="D12" s="417" t="s">
        <v>133</v>
      </c>
      <c r="E12" s="414" t="s">
        <v>985</v>
      </c>
      <c r="F12" s="415">
        <f>'Estimación anualizada '!V20</f>
        <v>101329622174.50002</v>
      </c>
    </row>
    <row r="13" spans="1:6" ht="127.5" customHeight="1" x14ac:dyDescent="0.2">
      <c r="A13" s="393" t="s">
        <v>129</v>
      </c>
      <c r="B13" s="393" t="s">
        <v>134</v>
      </c>
      <c r="C13" s="393" t="s">
        <v>135</v>
      </c>
      <c r="D13" s="413" t="s">
        <v>136</v>
      </c>
      <c r="E13" s="414" t="s">
        <v>382</v>
      </c>
      <c r="F13" s="415">
        <f>'Estimación anualizada '!V22</f>
        <v>21593230348.063999</v>
      </c>
    </row>
    <row r="14" spans="1:6" ht="246" customHeight="1" x14ac:dyDescent="0.2">
      <c r="A14" s="393" t="s">
        <v>137</v>
      </c>
      <c r="B14" s="393" t="s">
        <v>138</v>
      </c>
      <c r="C14" s="393" t="s">
        <v>139</v>
      </c>
      <c r="D14" s="413" t="s">
        <v>140</v>
      </c>
      <c r="E14" s="414" t="s">
        <v>986</v>
      </c>
      <c r="F14" s="415">
        <f>'Estimación anualizada '!V24</f>
        <v>64607271652</v>
      </c>
    </row>
    <row r="15" spans="1:6" ht="150.94999999999999" customHeight="1" x14ac:dyDescent="0.2">
      <c r="A15" s="393" t="s">
        <v>137</v>
      </c>
      <c r="B15" s="393" t="s">
        <v>138</v>
      </c>
      <c r="C15" s="393" t="s">
        <v>139</v>
      </c>
      <c r="D15" s="413" t="s">
        <v>141</v>
      </c>
      <c r="E15" s="414" t="s">
        <v>987</v>
      </c>
      <c r="F15" s="415">
        <f>'Estimación anualizada '!V25</f>
        <v>13629695772</v>
      </c>
    </row>
    <row r="16" spans="1:6" ht="237.6" customHeight="1" x14ac:dyDescent="0.2">
      <c r="A16" s="393" t="s">
        <v>137</v>
      </c>
      <c r="B16" s="393" t="s">
        <v>138</v>
      </c>
      <c r="C16" s="393" t="s">
        <v>139</v>
      </c>
      <c r="D16" s="413" t="s">
        <v>142</v>
      </c>
      <c r="E16" s="414" t="s">
        <v>988</v>
      </c>
      <c r="F16" s="415">
        <f>'Estimación anualizada '!V26</f>
        <v>81822881050.094788</v>
      </c>
    </row>
    <row r="17" spans="1:6" ht="182.45" customHeight="1" x14ac:dyDescent="0.2">
      <c r="A17" s="393" t="s">
        <v>137</v>
      </c>
      <c r="B17" s="393" t="s">
        <v>138</v>
      </c>
      <c r="C17" s="393" t="s">
        <v>139</v>
      </c>
      <c r="D17" s="413" t="s">
        <v>175</v>
      </c>
      <c r="E17" s="414" t="s">
        <v>989</v>
      </c>
      <c r="F17" s="415">
        <f>'Estimación anualizada '!V27</f>
        <v>45018273391.800011</v>
      </c>
    </row>
    <row r="18" spans="1:6" ht="127.5" customHeight="1" x14ac:dyDescent="0.2">
      <c r="A18" s="393" t="s">
        <v>137</v>
      </c>
      <c r="B18" s="393" t="s">
        <v>338</v>
      </c>
      <c r="C18" s="393" t="s">
        <v>339</v>
      </c>
      <c r="D18" s="413" t="s">
        <v>340</v>
      </c>
      <c r="E18" s="414" t="s">
        <v>435</v>
      </c>
      <c r="F18" s="415">
        <f>'Estimación anualizada '!V28</f>
        <v>3742341787.5</v>
      </c>
    </row>
    <row r="19" spans="1:6" ht="105" customHeight="1" x14ac:dyDescent="0.2">
      <c r="A19" s="393" t="s">
        <v>137</v>
      </c>
      <c r="B19" s="393" t="s">
        <v>143</v>
      </c>
      <c r="C19" s="393" t="s">
        <v>144</v>
      </c>
      <c r="D19" s="413" t="s">
        <v>145</v>
      </c>
      <c r="E19" s="414" t="s">
        <v>378</v>
      </c>
      <c r="F19" s="415">
        <f>'Estimación anualizada '!V30</f>
        <v>14243132557.5</v>
      </c>
    </row>
    <row r="20" spans="1:6" ht="129" customHeight="1" x14ac:dyDescent="0.2">
      <c r="A20" s="393" t="s">
        <v>137</v>
      </c>
      <c r="B20" s="393" t="s">
        <v>143</v>
      </c>
      <c r="C20" s="393" t="s">
        <v>144</v>
      </c>
      <c r="D20" s="413" t="s">
        <v>146</v>
      </c>
      <c r="E20" s="414" t="s">
        <v>990</v>
      </c>
      <c r="F20" s="415">
        <f>'Estimación anualizada '!V31</f>
        <v>37995941791</v>
      </c>
    </row>
    <row r="21" spans="1:6" ht="115.5" customHeight="1" x14ac:dyDescent="0.2">
      <c r="A21" s="394" t="s">
        <v>147</v>
      </c>
      <c r="B21" s="394" t="s">
        <v>148</v>
      </c>
      <c r="C21" s="394" t="s">
        <v>149</v>
      </c>
      <c r="D21" s="417" t="s">
        <v>150</v>
      </c>
      <c r="E21" s="414" t="s">
        <v>991</v>
      </c>
      <c r="F21" s="415">
        <f>'Estimación anualizada '!V33</f>
        <v>7040381400.5094995</v>
      </c>
    </row>
    <row r="22" spans="1:6" ht="114.6" customHeight="1" x14ac:dyDescent="0.2">
      <c r="A22" s="394" t="s">
        <v>147</v>
      </c>
      <c r="B22" s="394" t="s">
        <v>148</v>
      </c>
      <c r="C22" s="394" t="s">
        <v>151</v>
      </c>
      <c r="D22" s="417" t="s">
        <v>152</v>
      </c>
      <c r="E22" s="414" t="s">
        <v>387</v>
      </c>
      <c r="F22" s="415">
        <f>'Estimación anualizada '!V34</f>
        <v>20193874384</v>
      </c>
    </row>
    <row r="23" spans="1:6" ht="144.6" customHeight="1" x14ac:dyDescent="0.2">
      <c r="A23" s="394" t="s">
        <v>147</v>
      </c>
      <c r="B23" s="394" t="s">
        <v>153</v>
      </c>
      <c r="C23" s="394" t="s">
        <v>154</v>
      </c>
      <c r="D23" s="417" t="s">
        <v>155</v>
      </c>
      <c r="E23" s="414" t="s">
        <v>992</v>
      </c>
      <c r="F23" s="415">
        <f>'Estimación anualizada '!V36</f>
        <v>2057705527.5</v>
      </c>
    </row>
    <row r="24" spans="1:6" ht="114.6" customHeight="1" x14ac:dyDescent="0.2">
      <c r="A24" s="394" t="s">
        <v>147</v>
      </c>
      <c r="B24" s="394" t="s">
        <v>153</v>
      </c>
      <c r="C24" s="394" t="s">
        <v>156</v>
      </c>
      <c r="D24" s="417" t="s">
        <v>157</v>
      </c>
      <c r="E24" s="414" t="s">
        <v>438</v>
      </c>
      <c r="F24" s="415">
        <f>'Estimación anualizada '!V37</f>
        <v>1566164870</v>
      </c>
    </row>
    <row r="25" spans="1:6" ht="141.94999999999999" customHeight="1" x14ac:dyDescent="0.2">
      <c r="A25" s="393" t="s">
        <v>147</v>
      </c>
      <c r="B25" s="393" t="s">
        <v>341</v>
      </c>
      <c r="C25" s="393" t="s">
        <v>156</v>
      </c>
      <c r="D25" s="413" t="s">
        <v>342</v>
      </c>
      <c r="E25" s="414" t="s">
        <v>364</v>
      </c>
      <c r="F25" s="415">
        <f>'Estimación anualizada '!V38</f>
        <v>3917872174.5</v>
      </c>
    </row>
    <row r="26" spans="1:6" ht="126" customHeight="1" x14ac:dyDescent="0.2">
      <c r="A26" s="393" t="s">
        <v>147</v>
      </c>
      <c r="B26" s="393" t="s">
        <v>153</v>
      </c>
      <c r="C26" s="393" t="s">
        <v>156</v>
      </c>
      <c r="D26" s="413" t="s">
        <v>343</v>
      </c>
      <c r="E26" s="414" t="s">
        <v>358</v>
      </c>
      <c r="F26" s="415">
        <f>'Estimación anualizada '!V39</f>
        <v>2117394813.75</v>
      </c>
    </row>
    <row r="27" spans="1:6" ht="73.5" customHeight="1" x14ac:dyDescent="0.2">
      <c r="A27" s="393" t="s">
        <v>147</v>
      </c>
      <c r="B27" s="393" t="s">
        <v>153</v>
      </c>
      <c r="C27" s="393" t="s">
        <v>156</v>
      </c>
      <c r="D27" s="413" t="s">
        <v>344</v>
      </c>
      <c r="E27" s="414" t="s">
        <v>354</v>
      </c>
      <c r="F27" s="415">
        <f>'Estimación anualizada '!V40</f>
        <v>960943473</v>
      </c>
    </row>
    <row r="28" spans="1:6" ht="90.95" customHeight="1" x14ac:dyDescent="0.2">
      <c r="A28" s="393" t="s">
        <v>147</v>
      </c>
      <c r="B28" s="393" t="s">
        <v>153</v>
      </c>
      <c r="C28" s="393" t="s">
        <v>156</v>
      </c>
      <c r="D28" s="413" t="s">
        <v>345</v>
      </c>
      <c r="E28" s="414" t="s">
        <v>356</v>
      </c>
      <c r="F28" s="415">
        <f>'Estimación anualizada '!V41</f>
        <v>1066113129</v>
      </c>
    </row>
    <row r="29" spans="1:6" ht="51.75" customHeight="1" x14ac:dyDescent="0.2">
      <c r="A29" s="418" t="s">
        <v>286</v>
      </c>
      <c r="C29" s="225"/>
      <c r="E29" s="419"/>
      <c r="F29" s="418">
        <f>SUM(F2:F28)</f>
        <v>2983597712243.4414</v>
      </c>
    </row>
    <row r="30" spans="1:6" x14ac:dyDescent="0.2">
      <c r="F30" s="421"/>
    </row>
  </sheetData>
  <sheetProtection algorithmName="SHA-512" hashValue="vnTK6wwGHlYsD9hhVG+jBOo/bJh+mOvoBdbckdzjLDCEVbsjV+vwAs8CU+0he9KtD+ry9yoMAcOa5guamTjAlw==" saltValue="5R11yCg1X1bL/kydW/pTS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9cfb9293b72e52201a6dd4733c420c9e">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8962f50eb57aaa8c6bdbdcf6ea00a385"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40b0a200-db81-46a6-8932-d2b8cafe0a14</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EB5F891E-915B-4F97-8988-7C40C28B622B}"/>
</file>

<file path=customXml/itemProps2.xml><?xml version="1.0" encoding="utf-8"?>
<ds:datastoreItem xmlns:ds="http://schemas.openxmlformats.org/officeDocument/2006/customXml" ds:itemID="{69E25F74-B482-474E-8B4A-0FFA350A32C2}"/>
</file>

<file path=customXml/itemProps3.xml><?xml version="1.0" encoding="utf-8"?>
<ds:datastoreItem xmlns:ds="http://schemas.openxmlformats.org/officeDocument/2006/customXml" ds:itemID="{CD1E310F-991B-4DCA-A58D-27F51F8F4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vt:lpstr>
      <vt:lpstr>Directrices  Generales </vt:lpstr>
      <vt:lpstr>Categoria Costos Def</vt:lpstr>
      <vt:lpstr>Estimación anualizada </vt:lpstr>
      <vt:lpstr>Estimación por período</vt:lpstr>
      <vt:lpstr>Fuentes</vt:lpstr>
      <vt:lpstr>P1</vt:lpstr>
      <vt:lpstr>P2</vt:lpstr>
      <vt:lpstr>P3</vt:lpstr>
      <vt:lpstr>P4</vt:lpstr>
      <vt:lpstr>P5</vt:lpstr>
      <vt:lpstr>P6</vt:lpstr>
      <vt:lpstr>P7</vt:lpstr>
      <vt:lpstr>P8</vt:lpstr>
      <vt:lpstr>P9</vt:lpstr>
      <vt:lpstr>PPP_V3_y Costos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Plan de acción</dc:title>
  <dc:creator>Jannia Gómez</dc:creator>
  <cp:lastModifiedBy>Alejandro Flórez Vanegas</cp:lastModifiedBy>
  <dcterms:created xsi:type="dcterms:W3CDTF">2022-02-23T13:55:35Z</dcterms:created>
  <dcterms:modified xsi:type="dcterms:W3CDTF">2022-05-12T20:31:42Z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